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T:\HSPH Restricted Access Workspace\Ryan White\Ryan White Plng Council\MCHACP\Year 25\2020.08.04\"/>
    </mc:Choice>
  </mc:AlternateContent>
  <xr:revisionPtr revIDLastSave="0" documentId="13_ncr:1_{CA20B76A-5227-49C6-97A8-FFBB24B9F52B}" xr6:coauthVersionLast="44" xr6:coauthVersionMax="44" xr10:uidLastSave="{00000000-0000-0000-0000-000000000000}"/>
  <bookViews>
    <workbookView xWindow="-98" yWindow="-98" windowWidth="19396" windowHeight="10395" activeTab="1" xr2:uid="{00000000-000D-0000-FFFF-FFFF00000000}"/>
  </bookViews>
  <sheets>
    <sheet name="Sheet1" sheetId="1" r:id="rId1"/>
    <sheet name="Sheet2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2" l="1"/>
  <c r="E22" i="2" l="1"/>
  <c r="E21" i="2"/>
  <c r="E18" i="2"/>
  <c r="E16" i="2"/>
  <c r="E15" i="2"/>
  <c r="E14" i="2"/>
  <c r="G2" i="2"/>
  <c r="E17" i="2"/>
  <c r="E6" i="2"/>
  <c r="E7" i="2"/>
  <c r="E8" i="2"/>
  <c r="E10" i="2"/>
  <c r="H14" i="1" l="1"/>
  <c r="H16" i="1" s="1"/>
  <c r="G26" i="2"/>
  <c r="I20" i="2"/>
  <c r="I16" i="2" l="1"/>
  <c r="E26" i="2"/>
  <c r="C26" i="2"/>
  <c r="I3" i="2"/>
  <c r="I4" i="2"/>
  <c r="I5" i="2"/>
  <c r="I6" i="2"/>
  <c r="I7" i="2"/>
  <c r="I8" i="2"/>
  <c r="I9" i="2"/>
  <c r="I10" i="2"/>
  <c r="I11" i="2"/>
  <c r="I14" i="2"/>
  <c r="I17" i="2"/>
  <c r="I18" i="2"/>
  <c r="I19" i="2"/>
  <c r="I21" i="2"/>
  <c r="I22" i="2"/>
  <c r="I23" i="2"/>
  <c r="I24" i="2"/>
  <c r="I25" i="2"/>
  <c r="I2" i="2"/>
  <c r="C20" i="1"/>
  <c r="D10" i="1"/>
  <c r="D20" i="1" s="1"/>
  <c r="I26" i="2" l="1"/>
</calcChain>
</file>

<file path=xl/sharedStrings.xml><?xml version="1.0" encoding="utf-8"?>
<sst xmlns="http://schemas.openxmlformats.org/spreadsheetml/2006/main" count="103" uniqueCount="52">
  <si>
    <t>Service Activity</t>
  </si>
  <si>
    <t>Funding Source</t>
  </si>
  <si>
    <t>Amount</t>
  </si>
  <si>
    <t>Revised</t>
  </si>
  <si>
    <t>AIDS Drug Assistance Program</t>
  </si>
  <si>
    <t>Part B</t>
  </si>
  <si>
    <t>Emergency Financial Assistance</t>
  </si>
  <si>
    <t>Food Vouchers</t>
  </si>
  <si>
    <t>Health Insurance Program</t>
  </si>
  <si>
    <t>Benefits Counseling</t>
  </si>
  <si>
    <t>Linguistic Services</t>
  </si>
  <si>
    <t>Medical Case Management</t>
  </si>
  <si>
    <t>Medical Nutrition Therapy</t>
  </si>
  <si>
    <t>Medical Transportation Services</t>
  </si>
  <si>
    <t>Mental Health Services</t>
  </si>
  <si>
    <t>Oral Health Care</t>
  </si>
  <si>
    <t>Outreach Services</t>
  </si>
  <si>
    <t>Part B MAI</t>
  </si>
  <si>
    <t>Referral for Services</t>
  </si>
  <si>
    <t>Legal Services</t>
  </si>
  <si>
    <t>Total</t>
  </si>
  <si>
    <t>Rebate</t>
  </si>
  <si>
    <t>State</t>
  </si>
  <si>
    <t>Core Medical Services</t>
  </si>
  <si>
    <t>AIDS Drug Assistance Program Treatments</t>
  </si>
  <si>
    <t>AIDS Pharmaceutical Assistance</t>
  </si>
  <si>
    <t>Early Intervention Services (EIS)</t>
  </si>
  <si>
    <t>Outpatient/Ambulatory Health Services</t>
  </si>
  <si>
    <t>Substance Abuse Outpatient Care</t>
  </si>
  <si>
    <t>Health Education/Risk Reduction</t>
  </si>
  <si>
    <t>Housing</t>
  </si>
  <si>
    <t>Non-Medical Case Management Services</t>
  </si>
  <si>
    <t>Medical Transportation</t>
  </si>
  <si>
    <t xml:space="preserve">Psychosocial Support Services </t>
  </si>
  <si>
    <t>Referral for Health Care and Support Services</t>
  </si>
  <si>
    <t>Support Services</t>
  </si>
  <si>
    <t>Federal Funding</t>
  </si>
  <si>
    <t>ADAP</t>
  </si>
  <si>
    <t xml:space="preserve">Outreach Services </t>
  </si>
  <si>
    <t>Notes</t>
  </si>
  <si>
    <t>RW legislation allows use only to assist individuals in accessing ADAP or other payments to medications.</t>
  </si>
  <si>
    <t>Health Insurance Premium (HIP)</t>
  </si>
  <si>
    <t>Includes addition of $26,700 from HIP. HIP services now covered through ADAP</t>
  </si>
  <si>
    <t>Service area includes Care Coordination and some speciality services like Benefits Counseling</t>
  </si>
  <si>
    <t>Food vouchers is within the Home Delivered Meals service area but thought breaking it out would be clearer.</t>
  </si>
  <si>
    <t>$14,100 added to rebate after equal reduction in Part B for this service. Part B funds transferred to Oral Health.</t>
  </si>
  <si>
    <t>$30,000 added to rebate after equal reduction in Part B for this service. Part B funds transferred to Oral Health.</t>
  </si>
  <si>
    <t>$11,000 added to rebate after equal reduction in Part B for this service. Part B funds transferred to Oral Health.</t>
  </si>
  <si>
    <t>Linguistic</t>
  </si>
  <si>
    <t>$3,900 added to rebate after equal reduction in Part B for this service. Part B funds transferred to Oral Health.</t>
  </si>
  <si>
    <t>Paid out of ADAP</t>
  </si>
  <si>
    <t>Food Bank/Home Delivered Meals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</si>
</sst>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1" applyNumberFormat="1" applyFont="1"/>
    <xf numFmtId="164" fontId="0" fillId="2" borderId="0" xfId="1" applyNumberFormat="1" applyFont="1" applyFill="1"/>
    <xf numFmtId="164" fontId="0" fillId="3" borderId="0" xfId="1" applyNumberFormat="1" applyFont="1" applyFill="1"/>
    <xf numFmtId="164" fontId="0" fillId="4" borderId="0" xfId="1" applyNumberFormat="1" applyFont="1" applyFill="1"/>
    <xf numFmtId="164" fontId="0" fillId="0" borderId="0" xfId="0" applyNumberFormat="1"/>
    <xf numFmtId="164" fontId="0" fillId="0" borderId="0" xfId="0" applyNumberFormat="1" applyFont="1"/>
    <xf numFmtId="164" fontId="0" fillId="5" borderId="1" xfId="1" applyNumberFormat="1" applyFont="1" applyFill="1" applyBorder="1"/>
    <xf numFmtId="164" fontId="3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2" xfId="0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1" applyNumberFormat="1" applyFont="1" applyAlignment="1">
      <alignment horizontal="center"/>
    </xf>
    <xf numFmtId="0" fontId="2" fillId="0" borderId="0" xfId="0" applyFont="1"/>
    <xf numFmtId="164" fontId="0" fillId="0" borderId="0" xfId="1" applyNumberFormat="1" applyFont="1" applyFill="1" applyAlignment="1">
      <alignment horizontal="center"/>
    </xf>
    <xf numFmtId="6" fontId="4" fillId="0" borderId="0" xfId="0" applyNumberFormat="1" applyFont="1" applyFill="1"/>
  </cellXfs>
  <cellStyles count="2">
    <cellStyle name="Currency" xfId="1" builtinId="4"/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20%20Allocations%20plan%20for%20MCHACP\Copy%20of%20FY2021%20Spending%20Plan%20-%20dh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20 Part B"/>
      <sheetName val="FY2021 Council Part B Proposal"/>
      <sheetName val="rft-hrsa-rankings"/>
      <sheetName val="rft-service"/>
      <sheetName val="rft-subrecipient"/>
    </sheetNames>
    <sheetDataSet>
      <sheetData sheetId="0" refreshError="1"/>
      <sheetData sheetId="1"/>
      <sheetData sheetId="2" refreshError="1"/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y2021_council_b" displayName="fy2021_council_b" ref="A3:D20" totalsRowCount="1">
  <autoFilter ref="A3:D19" xr:uid="{00000000-0009-0000-0100-000001000000}"/>
  <sortState xmlns:xlrd2="http://schemas.microsoft.com/office/spreadsheetml/2017/richdata2" ref="A4:C17">
    <sortCondition ref="B3:B51"/>
  </sortState>
  <tableColumns count="4">
    <tableColumn id="1" xr3:uid="{00000000-0010-0000-0000-000001000000}" name="Service Activity" totalsRowLabel="Total"/>
    <tableColumn id="2" xr3:uid="{00000000-0010-0000-0000-000002000000}" name="Funding Source"/>
    <tableColumn id="5" xr3:uid="{00000000-0010-0000-0000-000005000000}" name="Amount" totalsRowFunction="sum" dataDxfId="3" totalsRowDxfId="2" dataCellStyle="Currency"/>
    <tableColumn id="3" xr3:uid="{00000000-0010-0000-0000-000003000000}" name="Revised" totalsRowFunction="sum" dataDxfId="1" totalsRowDxfId="0" dataCellStyle="Currency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21"/>
  <sheetViews>
    <sheetView workbookViewId="0">
      <selection activeCell="H17" sqref="H17"/>
    </sheetView>
  </sheetViews>
  <sheetFormatPr defaultRowHeight="14.25" x14ac:dyDescent="0.45"/>
  <cols>
    <col min="1" max="1" width="39" customWidth="1"/>
    <col min="2" max="2" width="20" customWidth="1"/>
    <col min="3" max="3" width="18.3984375" customWidth="1"/>
    <col min="4" max="4" width="14.265625" style="1" bestFit="1" customWidth="1"/>
    <col min="5" max="5" width="16.86328125" customWidth="1"/>
    <col min="6" max="6" width="12.3984375" customWidth="1"/>
    <col min="8" max="8" width="10" bestFit="1" customWidth="1"/>
  </cols>
  <sheetData>
    <row r="3" spans="1:8" x14ac:dyDescent="0.45">
      <c r="A3" t="s">
        <v>0</v>
      </c>
      <c r="B3" t="s">
        <v>1</v>
      </c>
      <c r="C3" t="s">
        <v>2</v>
      </c>
      <c r="D3" s="1" t="s">
        <v>3</v>
      </c>
    </row>
    <row r="4" spans="1:8" x14ac:dyDescent="0.45">
      <c r="C4" s="1"/>
    </row>
    <row r="5" spans="1:8" x14ac:dyDescent="0.45">
      <c r="A5" t="s">
        <v>4</v>
      </c>
      <c r="B5" t="s">
        <v>5</v>
      </c>
      <c r="C5" s="1">
        <v>6265290</v>
      </c>
      <c r="D5" s="1">
        <v>6265290</v>
      </c>
    </row>
    <row r="6" spans="1:8" x14ac:dyDescent="0.45">
      <c r="A6" t="s">
        <v>8</v>
      </c>
      <c r="B6" t="s">
        <v>5</v>
      </c>
      <c r="C6" s="1">
        <v>26700</v>
      </c>
      <c r="D6" s="3">
        <v>0</v>
      </c>
    </row>
    <row r="7" spans="1:8" x14ac:dyDescent="0.45">
      <c r="A7" t="s">
        <v>11</v>
      </c>
      <c r="B7" t="s">
        <v>5</v>
      </c>
      <c r="C7" s="1">
        <v>536912</v>
      </c>
      <c r="D7" s="1">
        <v>536912</v>
      </c>
    </row>
    <row r="8" spans="1:8" x14ac:dyDescent="0.45">
      <c r="A8" t="s">
        <v>12</v>
      </c>
      <c r="B8" t="s">
        <v>5</v>
      </c>
      <c r="C8" s="1">
        <v>14100</v>
      </c>
      <c r="D8" s="4">
        <v>0</v>
      </c>
    </row>
    <row r="9" spans="1:8" x14ac:dyDescent="0.45">
      <c r="A9" t="s">
        <v>14</v>
      </c>
      <c r="B9" t="s">
        <v>5</v>
      </c>
      <c r="C9" s="1">
        <v>40800</v>
      </c>
      <c r="D9" s="4">
        <v>10800</v>
      </c>
    </row>
    <row r="10" spans="1:8" x14ac:dyDescent="0.45">
      <c r="A10" t="s">
        <v>15</v>
      </c>
      <c r="B10" t="s">
        <v>5</v>
      </c>
      <c r="C10" s="1">
        <v>69665</v>
      </c>
      <c r="D10" s="2">
        <f>fy2021_council_b[[#This Row],[Amount]]+C8+C15+30000+C19</f>
        <v>128665</v>
      </c>
    </row>
    <row r="11" spans="1:8" x14ac:dyDescent="0.45">
      <c r="C11" s="1"/>
      <c r="D11" s="2"/>
    </row>
    <row r="12" spans="1:8" x14ac:dyDescent="0.45">
      <c r="A12" t="s">
        <v>9</v>
      </c>
      <c r="B12" t="s">
        <v>5</v>
      </c>
      <c r="C12" s="1">
        <v>108300</v>
      </c>
      <c r="D12" s="1">
        <v>108300</v>
      </c>
    </row>
    <row r="13" spans="1:8" x14ac:dyDescent="0.45">
      <c r="A13" t="s">
        <v>7</v>
      </c>
      <c r="B13" t="s">
        <v>5</v>
      </c>
      <c r="C13" s="1">
        <v>172000</v>
      </c>
      <c r="D13" s="1">
        <v>172000</v>
      </c>
    </row>
    <row r="14" spans="1:8" x14ac:dyDescent="0.45">
      <c r="A14" t="s">
        <v>6</v>
      </c>
      <c r="B14" t="s">
        <v>5</v>
      </c>
      <c r="C14" s="1">
        <v>487700</v>
      </c>
      <c r="D14" s="2">
        <v>514400</v>
      </c>
      <c r="H14" s="5">
        <f>C8+30000+C15+C19</f>
        <v>59000</v>
      </c>
    </row>
    <row r="15" spans="1:8" x14ac:dyDescent="0.45">
      <c r="A15" t="s">
        <v>10</v>
      </c>
      <c r="B15" t="s">
        <v>5</v>
      </c>
      <c r="C15" s="1">
        <v>3900</v>
      </c>
      <c r="D15" s="4">
        <v>0</v>
      </c>
      <c r="H15" s="7">
        <v>69665</v>
      </c>
    </row>
    <row r="16" spans="1:8" x14ac:dyDescent="0.45">
      <c r="A16" t="s">
        <v>13</v>
      </c>
      <c r="B16" t="s">
        <v>5</v>
      </c>
      <c r="C16" s="1">
        <v>454200</v>
      </c>
      <c r="D16" s="1">
        <v>454200</v>
      </c>
      <c r="H16" s="5">
        <f>H14+H15</f>
        <v>128665</v>
      </c>
    </row>
    <row r="17" spans="1:4" x14ac:dyDescent="0.45">
      <c r="A17" t="s">
        <v>16</v>
      </c>
      <c r="B17" t="s">
        <v>17</v>
      </c>
      <c r="C17" s="1">
        <v>66281</v>
      </c>
      <c r="D17" s="1">
        <v>66281</v>
      </c>
    </row>
    <row r="18" spans="1:4" x14ac:dyDescent="0.45">
      <c r="A18" t="s">
        <v>18</v>
      </c>
      <c r="B18" t="s">
        <v>5</v>
      </c>
      <c r="C18" s="1">
        <v>143000</v>
      </c>
      <c r="D18" s="1">
        <v>143000</v>
      </c>
    </row>
    <row r="19" spans="1:4" x14ac:dyDescent="0.45">
      <c r="A19" t="s">
        <v>19</v>
      </c>
      <c r="B19" t="s">
        <v>5</v>
      </c>
      <c r="C19" s="1">
        <v>11000</v>
      </c>
      <c r="D19" s="4">
        <v>0</v>
      </c>
    </row>
    <row r="20" spans="1:4" x14ac:dyDescent="0.45">
      <c r="A20" t="s">
        <v>20</v>
      </c>
      <c r="C20" s="5">
        <f>SUBTOTAL(109,fy2021_council_b[Amount])</f>
        <v>8399848</v>
      </c>
      <c r="D20" s="8">
        <f>SUBTOTAL(109,fy2021_council_b[Revised])</f>
        <v>8399848</v>
      </c>
    </row>
    <row r="21" spans="1:4" x14ac:dyDescent="0.45">
      <c r="C21" s="5"/>
      <c r="D21" s="6"/>
    </row>
  </sheetData>
  <dataValidations count="1">
    <dataValidation type="list" allowBlank="1" showInputMessage="1" showErrorMessage="1" sqref="B4:B19" xr:uid="{00000000-0002-0000-0000-000000000000}">
      <formula1>"Part B, Part B MAI"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'H:\2020 Allocations plan for MCHACP\[Copy of FY2021 Spending Plan - dhs.xlsx]rft-service'!#REF!</xm:f>
          </x14:formula1>
          <xm:sqref>A6:A19 A4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8"/>
  <sheetViews>
    <sheetView tabSelected="1" zoomScale="90" zoomScaleNormal="90" workbookViewId="0">
      <selection activeCell="A15" sqref="A15"/>
    </sheetView>
  </sheetViews>
  <sheetFormatPr defaultRowHeight="14.25" x14ac:dyDescent="0.45"/>
  <cols>
    <col min="1" max="1" width="60" customWidth="1"/>
    <col min="2" max="2" width="15.3984375" style="9" bestFit="1" customWidth="1"/>
    <col min="3" max="3" width="12.265625" style="11" bestFit="1" customWidth="1"/>
    <col min="4" max="4" width="9.1328125" style="9"/>
    <col min="5" max="5" width="11.59765625" style="18" bestFit="1" customWidth="1"/>
    <col min="6" max="6" width="9.1328125" style="9"/>
    <col min="7" max="7" width="14.265625" style="12" bestFit="1" customWidth="1"/>
    <col min="8" max="8" width="2.73046875" style="9" customWidth="1"/>
    <col min="9" max="9" width="12.59765625" style="9" bestFit="1" customWidth="1"/>
    <col min="11" max="11" width="11.59765625" bestFit="1" customWidth="1"/>
  </cols>
  <sheetData>
    <row r="1" spans="1:10" x14ac:dyDescent="0.45">
      <c r="A1" s="17" t="s">
        <v>23</v>
      </c>
      <c r="B1" s="9" t="s">
        <v>36</v>
      </c>
      <c r="C1" s="14" t="s">
        <v>2</v>
      </c>
      <c r="D1" s="9" t="s">
        <v>21</v>
      </c>
      <c r="E1" s="18" t="s">
        <v>2</v>
      </c>
      <c r="F1" s="9" t="s">
        <v>22</v>
      </c>
      <c r="G1" s="12" t="s">
        <v>2</v>
      </c>
      <c r="I1" s="9" t="s">
        <v>20</v>
      </c>
      <c r="J1" s="9" t="s">
        <v>39</v>
      </c>
    </row>
    <row r="2" spans="1:10" x14ac:dyDescent="0.45">
      <c r="A2" t="s">
        <v>24</v>
      </c>
      <c r="B2" s="10" t="s">
        <v>37</v>
      </c>
      <c r="C2" s="16">
        <v>6265290</v>
      </c>
      <c r="D2" s="9" t="s">
        <v>21</v>
      </c>
      <c r="F2" s="9" t="s">
        <v>22</v>
      </c>
      <c r="G2" s="12">
        <f>1063678-G14</f>
        <v>1038678</v>
      </c>
      <c r="I2" s="12">
        <f>C2+E2+G2</f>
        <v>7303968</v>
      </c>
    </row>
    <row r="3" spans="1:10" x14ac:dyDescent="0.45">
      <c r="A3" t="s">
        <v>25</v>
      </c>
      <c r="B3" s="10"/>
      <c r="C3" s="16"/>
      <c r="I3" s="12">
        <f t="shared" ref="I3:I25" si="0">C3+E3+G3</f>
        <v>0</v>
      </c>
    </row>
    <row r="4" spans="1:10" x14ac:dyDescent="0.45">
      <c r="A4" t="s">
        <v>26</v>
      </c>
      <c r="B4" s="10"/>
      <c r="C4" s="16"/>
      <c r="D4" s="9" t="s">
        <v>21</v>
      </c>
      <c r="E4" s="18">
        <v>599100</v>
      </c>
      <c r="I4" s="12">
        <f t="shared" si="0"/>
        <v>599100</v>
      </c>
    </row>
    <row r="5" spans="1:10" x14ac:dyDescent="0.45">
      <c r="A5" t="s">
        <v>41</v>
      </c>
      <c r="B5" s="10"/>
      <c r="C5" s="16"/>
      <c r="I5" s="12">
        <f t="shared" si="0"/>
        <v>0</v>
      </c>
      <c r="J5" t="s">
        <v>50</v>
      </c>
    </row>
    <row r="6" spans="1:10" x14ac:dyDescent="0.45">
      <c r="A6" t="s">
        <v>11</v>
      </c>
      <c r="B6" s="10" t="s">
        <v>5</v>
      </c>
      <c r="C6" s="16">
        <v>536912</v>
      </c>
      <c r="D6" s="9" t="s">
        <v>21</v>
      </c>
      <c r="E6" s="18">
        <f>105000+754723.63</f>
        <v>859723.63</v>
      </c>
      <c r="F6" s="9" t="s">
        <v>22</v>
      </c>
      <c r="G6" s="18">
        <v>1156000</v>
      </c>
      <c r="I6" s="12">
        <f t="shared" si="0"/>
        <v>2552635.63</v>
      </c>
    </row>
    <row r="7" spans="1:10" x14ac:dyDescent="0.45">
      <c r="A7" t="s">
        <v>12</v>
      </c>
      <c r="B7" s="10"/>
      <c r="C7" s="16"/>
      <c r="D7" s="9" t="s">
        <v>21</v>
      </c>
      <c r="E7" s="18">
        <f>156570+100000</f>
        <v>256570</v>
      </c>
      <c r="I7" s="12">
        <f t="shared" si="0"/>
        <v>256570</v>
      </c>
      <c r="J7" t="s">
        <v>45</v>
      </c>
    </row>
    <row r="8" spans="1:10" x14ac:dyDescent="0.45">
      <c r="A8" t="s">
        <v>14</v>
      </c>
      <c r="B8" s="10" t="s">
        <v>5</v>
      </c>
      <c r="C8" s="16">
        <v>10800</v>
      </c>
      <c r="D8" s="9" t="s">
        <v>21</v>
      </c>
      <c r="E8" s="18">
        <f>168000+45000</f>
        <v>213000</v>
      </c>
      <c r="I8" s="12">
        <f t="shared" si="0"/>
        <v>223800</v>
      </c>
      <c r="J8" t="s">
        <v>46</v>
      </c>
    </row>
    <row r="9" spans="1:10" x14ac:dyDescent="0.45">
      <c r="A9" t="s">
        <v>15</v>
      </c>
      <c r="B9" s="10" t="s">
        <v>5</v>
      </c>
      <c r="C9" s="16">
        <v>128665</v>
      </c>
      <c r="D9" s="9" t="s">
        <v>21</v>
      </c>
      <c r="I9" s="12">
        <f t="shared" si="0"/>
        <v>128665</v>
      </c>
    </row>
    <row r="10" spans="1:10" x14ac:dyDescent="0.45">
      <c r="A10" t="s">
        <v>27</v>
      </c>
      <c r="B10" s="10"/>
      <c r="C10" s="16"/>
      <c r="D10" s="9" t="s">
        <v>21</v>
      </c>
      <c r="E10" s="18">
        <f>60000+49295</f>
        <v>109295</v>
      </c>
      <c r="I10" s="12">
        <f t="shared" si="0"/>
        <v>109295</v>
      </c>
    </row>
    <row r="11" spans="1:10" x14ac:dyDescent="0.45">
      <c r="A11" t="s">
        <v>28</v>
      </c>
      <c r="B11" s="10"/>
      <c r="C11" s="16"/>
      <c r="D11" s="9" t="s">
        <v>21</v>
      </c>
      <c r="E11" s="18">
        <v>205500</v>
      </c>
      <c r="I11" s="12">
        <f t="shared" si="0"/>
        <v>205500</v>
      </c>
    </row>
    <row r="12" spans="1:10" x14ac:dyDescent="0.45">
      <c r="B12" s="10"/>
      <c r="C12" s="16"/>
      <c r="I12" s="12"/>
    </row>
    <row r="13" spans="1:10" x14ac:dyDescent="0.45">
      <c r="A13" s="17" t="s">
        <v>35</v>
      </c>
      <c r="B13" s="10"/>
      <c r="C13" s="16"/>
      <c r="I13" s="12"/>
    </row>
    <row r="14" spans="1:10" x14ac:dyDescent="0.45">
      <c r="A14" t="s">
        <v>6</v>
      </c>
      <c r="B14" s="10" t="s">
        <v>5</v>
      </c>
      <c r="C14" s="16">
        <v>514400</v>
      </c>
      <c r="E14" s="18">
        <f>299231+355459.69</f>
        <v>654690.68999999994</v>
      </c>
      <c r="G14" s="12">
        <v>25000</v>
      </c>
      <c r="I14" s="12">
        <f t="shared" si="0"/>
        <v>1194090.69</v>
      </c>
      <c r="J14" t="s">
        <v>42</v>
      </c>
    </row>
    <row r="15" spans="1:10" x14ac:dyDescent="0.45">
      <c r="A15" t="s">
        <v>51</v>
      </c>
      <c r="B15" s="10"/>
      <c r="C15" s="16"/>
      <c r="E15" s="18">
        <f>476000+508034.79+225000</f>
        <v>1209034.79</v>
      </c>
      <c r="I15" s="12"/>
    </row>
    <row r="16" spans="1:10" x14ac:dyDescent="0.45">
      <c r="A16" t="s">
        <v>7</v>
      </c>
      <c r="B16" s="10" t="s">
        <v>5</v>
      </c>
      <c r="C16" s="16">
        <v>172000</v>
      </c>
      <c r="E16" s="18">
        <f>57536.39+31088.91</f>
        <v>88625.3</v>
      </c>
      <c r="I16" s="12">
        <f>C16+E16+G16</f>
        <v>260625.3</v>
      </c>
      <c r="J16" t="s">
        <v>44</v>
      </c>
    </row>
    <row r="17" spans="1:11" x14ac:dyDescent="0.45">
      <c r="A17" t="s">
        <v>29</v>
      </c>
      <c r="B17" s="10"/>
      <c r="C17" s="16"/>
      <c r="D17" s="9" t="s">
        <v>21</v>
      </c>
      <c r="E17" s="18">
        <f>96700+51693</f>
        <v>148393</v>
      </c>
      <c r="I17" s="12">
        <f t="shared" si="0"/>
        <v>148393</v>
      </c>
    </row>
    <row r="18" spans="1:11" x14ac:dyDescent="0.45">
      <c r="A18" t="s">
        <v>30</v>
      </c>
      <c r="B18" s="11"/>
      <c r="C18" s="16"/>
      <c r="D18" s="9" t="s">
        <v>21</v>
      </c>
      <c r="E18" s="18">
        <f>527400+119372+126298+259900+93522.27</f>
        <v>1126492.27</v>
      </c>
      <c r="I18" s="12">
        <f t="shared" si="0"/>
        <v>1126492.27</v>
      </c>
    </row>
    <row r="19" spans="1:11" x14ac:dyDescent="0.45">
      <c r="A19" t="s">
        <v>19</v>
      </c>
      <c r="C19" s="16"/>
      <c r="D19" s="9" t="s">
        <v>21</v>
      </c>
      <c r="E19" s="18">
        <v>11000</v>
      </c>
      <c r="I19" s="12">
        <f t="shared" si="0"/>
        <v>11000</v>
      </c>
      <c r="J19" t="s">
        <v>47</v>
      </c>
    </row>
    <row r="20" spans="1:11" x14ac:dyDescent="0.45">
      <c r="A20" t="s">
        <v>48</v>
      </c>
      <c r="C20" s="16"/>
      <c r="D20" s="9" t="s">
        <v>21</v>
      </c>
      <c r="E20" s="18">
        <v>3900</v>
      </c>
      <c r="I20" s="12">
        <f>C20+E20+G20</f>
        <v>3900</v>
      </c>
      <c r="J20" t="s">
        <v>49</v>
      </c>
    </row>
    <row r="21" spans="1:11" x14ac:dyDescent="0.45">
      <c r="A21" t="s">
        <v>32</v>
      </c>
      <c r="B21" s="9" t="s">
        <v>5</v>
      </c>
      <c r="C21" s="16">
        <v>454200</v>
      </c>
      <c r="D21" s="9" t="s">
        <v>21</v>
      </c>
      <c r="E21" s="18">
        <f>20800+62682.19+6253</f>
        <v>89735.19</v>
      </c>
      <c r="I21" s="12">
        <f t="shared" si="0"/>
        <v>543935.18999999994</v>
      </c>
    </row>
    <row r="22" spans="1:11" x14ac:dyDescent="0.45">
      <c r="A22" t="s">
        <v>31</v>
      </c>
      <c r="B22" s="9" t="s">
        <v>5</v>
      </c>
      <c r="C22" s="16">
        <v>108300</v>
      </c>
      <c r="D22" s="9" t="s">
        <v>21</v>
      </c>
      <c r="E22" s="18">
        <f>115000+165210.89+166459.69+41798+341231+80311.32+93522.27</f>
        <v>1003533.1700000002</v>
      </c>
      <c r="I22" s="12">
        <f t="shared" si="0"/>
        <v>1111833.1700000002</v>
      </c>
      <c r="J22" t="s">
        <v>43</v>
      </c>
    </row>
    <row r="23" spans="1:11" x14ac:dyDescent="0.45">
      <c r="A23" t="s">
        <v>38</v>
      </c>
      <c r="B23" s="9" t="s">
        <v>17</v>
      </c>
      <c r="C23" s="16">
        <v>66281</v>
      </c>
      <c r="I23" s="12">
        <f t="shared" si="0"/>
        <v>66281</v>
      </c>
      <c r="J23" t="s">
        <v>40</v>
      </c>
    </row>
    <row r="24" spans="1:11" x14ac:dyDescent="0.45">
      <c r="A24" t="s">
        <v>33</v>
      </c>
      <c r="C24" s="16"/>
      <c r="D24" s="9" t="s">
        <v>21</v>
      </c>
      <c r="E24" s="18">
        <v>105100</v>
      </c>
      <c r="I24" s="12">
        <f t="shared" si="0"/>
        <v>105100</v>
      </c>
    </row>
    <row r="25" spans="1:11" x14ac:dyDescent="0.45">
      <c r="A25" t="s">
        <v>34</v>
      </c>
      <c r="B25" s="9" t="s">
        <v>5</v>
      </c>
      <c r="C25" s="16">
        <v>143000</v>
      </c>
      <c r="D25" s="9" t="s">
        <v>21</v>
      </c>
      <c r="E25" s="18">
        <f>517198-C25</f>
        <v>374198</v>
      </c>
      <c r="I25" s="12">
        <f t="shared" si="0"/>
        <v>517198</v>
      </c>
    </row>
    <row r="26" spans="1:11" x14ac:dyDescent="0.45">
      <c r="A26" s="13" t="s">
        <v>20</v>
      </c>
      <c r="C26" s="15">
        <f>SUM(C2:C25)</f>
        <v>8399848</v>
      </c>
      <c r="E26" s="18">
        <f>SUM(E2:E25)</f>
        <v>7057891.04</v>
      </c>
      <c r="G26" s="12">
        <f>SUM(G2:G25)</f>
        <v>2219678</v>
      </c>
      <c r="I26" s="12">
        <f>SUM(I2:I25)</f>
        <v>16468382.249999998</v>
      </c>
    </row>
    <row r="27" spans="1:11" x14ac:dyDescent="0.45">
      <c r="K27" s="5"/>
    </row>
    <row r="28" spans="1:11" x14ac:dyDescent="0.45">
      <c r="C28" s="15"/>
      <c r="E28" s="19"/>
    </row>
  </sheetData>
  <dataValidations count="1">
    <dataValidation type="list" allowBlank="1" showInputMessage="1" showErrorMessage="1" sqref="B3:B17" xr:uid="{00000000-0002-0000-0100-000000000000}">
      <formula1>"Part B, Part B MAI"</formula1>
    </dataValidation>
  </dataValidations>
  <pageMargins left="0.7" right="0.7" top="0.75" bottom="0.75" header="0.3" footer="0.3"/>
  <pageSetup scale="50" orientation="landscape" r:id="rId1"/>
  <headerFooter>
    <oddHeader>&amp;C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State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Bjerke, Colleen</dc:creator>
  <cp:lastModifiedBy>Carissa N Weisdorf</cp:lastModifiedBy>
  <cp:lastPrinted>2020-07-28T19:02:20Z</cp:lastPrinted>
  <dcterms:created xsi:type="dcterms:W3CDTF">2020-07-22T17:03:44Z</dcterms:created>
  <dcterms:modified xsi:type="dcterms:W3CDTF">2020-07-28T19:02:25Z</dcterms:modified>
</cp:coreProperties>
</file>