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HSPH Restricted Access Workspace\Ryan White\Ryan White Plng Council\MCHACP\Year 22\2017.08.08\"/>
    </mc:Choice>
  </mc:AlternateContent>
  <bookViews>
    <workbookView xWindow="0" yWindow="0" windowWidth="16395" windowHeight="5655"/>
  </bookViews>
  <sheets>
    <sheet name="2018 Appl Allocs - no waiver" sheetId="1" r:id="rId1"/>
    <sheet name="2018 Pt A &amp; B Appl Detail " sheetId="2" r:id="rId2"/>
  </sheets>
  <definedNames>
    <definedName name="_xlnm.Print_Area" localSheetId="0">'2018 Appl Allocs - no waiver'!$A$1:$J$63</definedName>
    <definedName name="_xlnm.Print_Area" localSheetId="1">'2018 Pt A &amp; B Appl Detail '!$A$1:$I$78</definedName>
    <definedName name="_xlnm.Print_Titles" localSheetId="0">'2018 Appl Allocs - no waiver'!$1:$3</definedName>
    <definedName name="_xlnm.Print_Titles" localSheetId="1">'2018 Pt A &amp; B Appl Detail 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E7" i="2"/>
  <c r="D39" i="1" l="1"/>
  <c r="D38" i="1"/>
  <c r="D31" i="1"/>
  <c r="D29" i="1"/>
  <c r="D20" i="1"/>
  <c r="D19" i="1"/>
  <c r="D14" i="1"/>
  <c r="H13" i="1"/>
  <c r="I13" i="1" s="1"/>
  <c r="F11" i="1"/>
  <c r="D11" i="1"/>
  <c r="H8" i="1"/>
  <c r="I8" i="1" s="1"/>
  <c r="F78" i="2"/>
  <c r="H77" i="2"/>
  <c r="H78" i="2" s="1"/>
  <c r="G77" i="2"/>
  <c r="G78" i="2" s="1"/>
  <c r="F77" i="2"/>
  <c r="I76" i="2"/>
  <c r="I74" i="2"/>
  <c r="I73" i="2"/>
  <c r="I72" i="2"/>
  <c r="E77" i="2"/>
  <c r="I69" i="2"/>
  <c r="I66" i="2"/>
  <c r="I65" i="2"/>
  <c r="I64" i="2"/>
  <c r="I60" i="2"/>
  <c r="D60" i="2"/>
  <c r="F58" i="2"/>
  <c r="I58" i="2" s="1"/>
  <c r="I56" i="2"/>
  <c r="H54" i="2"/>
  <c r="G54" i="2"/>
  <c r="G61" i="2" s="1"/>
  <c r="D54" i="2"/>
  <c r="I54" i="2" s="1"/>
  <c r="F52" i="2"/>
  <c r="I52" i="2" s="1"/>
  <c r="I50" i="2"/>
  <c r="I48" i="2"/>
  <c r="I47" i="2"/>
  <c r="I46" i="2"/>
  <c r="H46" i="2"/>
  <c r="G46" i="2"/>
  <c r="F46" i="2"/>
  <c r="E46" i="2"/>
  <c r="D46" i="2"/>
  <c r="I44" i="2"/>
  <c r="I43" i="2"/>
  <c r="D42" i="2"/>
  <c r="I42" i="2" s="1"/>
  <c r="I41" i="2"/>
  <c r="D41" i="2"/>
  <c r="H40" i="2"/>
  <c r="H61" i="2" s="1"/>
  <c r="G40" i="2"/>
  <c r="F40" i="2"/>
  <c r="F61" i="2" s="1"/>
  <c r="E40" i="2"/>
  <c r="E61" i="2" s="1"/>
  <c r="F38" i="2"/>
  <c r="D38" i="2"/>
  <c r="I38" i="2" s="1"/>
  <c r="I36" i="2"/>
  <c r="F36" i="2"/>
  <c r="D34" i="2"/>
  <c r="I34" i="2" s="1"/>
  <c r="I32" i="2"/>
  <c r="I31" i="2"/>
  <c r="I30" i="2"/>
  <c r="I29" i="2"/>
  <c r="H28" i="2"/>
  <c r="G28" i="2"/>
  <c r="F28" i="2"/>
  <c r="E28" i="2"/>
  <c r="D28" i="2"/>
  <c r="I28" i="2" s="1"/>
  <c r="I25" i="2"/>
  <c r="F23" i="2"/>
  <c r="D23" i="2"/>
  <c r="I23" i="2" s="1"/>
  <c r="D21" i="2"/>
  <c r="I21" i="2" s="1"/>
  <c r="I19" i="2"/>
  <c r="I17" i="2"/>
  <c r="H15" i="2"/>
  <c r="H26" i="2" s="1"/>
  <c r="H63" i="2" s="1"/>
  <c r="H67" i="2" s="1"/>
  <c r="G15" i="2"/>
  <c r="E15" i="2"/>
  <c r="I15" i="2"/>
  <c r="I13" i="2"/>
  <c r="F13" i="2"/>
  <c r="D13" i="2"/>
  <c r="I12" i="2"/>
  <c r="I11" i="2"/>
  <c r="H11" i="2"/>
  <c r="I10" i="2"/>
  <c r="H9" i="2"/>
  <c r="G9" i="2"/>
  <c r="F9" i="2"/>
  <c r="E9" i="2"/>
  <c r="E6" i="2"/>
  <c r="D7" i="2"/>
  <c r="I7" i="2" s="1"/>
  <c r="I6" i="2" s="1"/>
  <c r="H6" i="2"/>
  <c r="G6" i="2"/>
  <c r="G26" i="2" s="1"/>
  <c r="G63" i="2" s="1"/>
  <c r="G67" i="2" s="1"/>
  <c r="F6" i="2"/>
  <c r="F26" i="2" s="1"/>
  <c r="D6" i="2"/>
  <c r="I4" i="2"/>
  <c r="I40" i="2" l="1"/>
  <c r="I9" i="2"/>
  <c r="E26" i="2"/>
  <c r="F63" i="2"/>
  <c r="F67" i="2" s="1"/>
  <c r="F81" i="2"/>
  <c r="F79" i="2"/>
  <c r="E63" i="2"/>
  <c r="E67" i="2" s="1"/>
  <c r="E79" i="2" s="1"/>
  <c r="I26" i="2"/>
  <c r="I61" i="2"/>
  <c r="E78" i="2"/>
  <c r="E81" i="2" s="1"/>
  <c r="D40" i="2"/>
  <c r="D61" i="2" s="1"/>
  <c r="D77" i="2"/>
  <c r="I70" i="2"/>
  <c r="I77" i="2" s="1"/>
  <c r="G79" i="2"/>
  <c r="H79" i="2"/>
  <c r="D9" i="2"/>
  <c r="D26" i="2" s="1"/>
  <c r="I78" i="2" l="1"/>
  <c r="D78" i="2"/>
  <c r="F84" i="2" s="1"/>
  <c r="D63" i="2"/>
  <c r="D67" i="2" s="1"/>
  <c r="D79" i="2" s="1"/>
  <c r="I63" i="2"/>
  <c r="I67" i="2" s="1"/>
  <c r="I79" i="2" s="1"/>
  <c r="F82" i="2" l="1"/>
  <c r="D81" i="2"/>
  <c r="F5" i="1" l="1"/>
  <c r="H5" i="1" s="1"/>
  <c r="I5" i="1" s="1"/>
  <c r="D6" i="1"/>
  <c r="F6" i="1"/>
  <c r="H7" i="1"/>
  <c r="I7" i="1" s="1"/>
  <c r="H9" i="1"/>
  <c r="I9" i="1" s="1"/>
  <c r="H10" i="1"/>
  <c r="F14" i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F20" i="1"/>
  <c r="H20" i="1"/>
  <c r="I20" i="1" s="1"/>
  <c r="D22" i="1"/>
  <c r="F22" i="1"/>
  <c r="H23" i="1"/>
  <c r="H24" i="1"/>
  <c r="I24" i="1"/>
  <c r="H25" i="1"/>
  <c r="I25" i="1" s="1"/>
  <c r="H26" i="1"/>
  <c r="H28" i="1"/>
  <c r="I28" i="1" s="1"/>
  <c r="F29" i="1"/>
  <c r="H29" i="1" s="1"/>
  <c r="I29" i="1" s="1"/>
  <c r="H30" i="1"/>
  <c r="I30" i="1"/>
  <c r="H31" i="1"/>
  <c r="I31" i="1" s="1"/>
  <c r="F31" i="1"/>
  <c r="H32" i="1"/>
  <c r="I32" i="1"/>
  <c r="E34" i="1"/>
  <c r="G34" i="1"/>
  <c r="H34" i="1"/>
  <c r="H35" i="1"/>
  <c r="I35" i="1" s="1"/>
  <c r="H37" i="1"/>
  <c r="I37" i="1" s="1"/>
  <c r="F38" i="1"/>
  <c r="H38" i="1" s="1"/>
  <c r="F39" i="1"/>
  <c r="H39" i="1"/>
  <c r="I39" i="1" s="1"/>
  <c r="H40" i="1"/>
  <c r="I40" i="1" s="1"/>
  <c r="H41" i="1"/>
  <c r="I41" i="1"/>
  <c r="H42" i="1"/>
  <c r="I42" i="1"/>
  <c r="H43" i="1"/>
  <c r="I43" i="1"/>
  <c r="H48" i="1"/>
  <c r="I48" i="1" s="1"/>
  <c r="H49" i="1"/>
  <c r="I49" i="1" s="1"/>
  <c r="H50" i="1"/>
  <c r="I50" i="1" s="1"/>
  <c r="H53" i="1"/>
  <c r="I53" i="1" s="1"/>
  <c r="H54" i="1"/>
  <c r="I54" i="1" s="1"/>
  <c r="D55" i="1"/>
  <c r="F55" i="1"/>
  <c r="H55" i="1" s="1"/>
  <c r="H56" i="1"/>
  <c r="I56" i="1" s="1"/>
  <c r="H57" i="1"/>
  <c r="I57" i="1" s="1"/>
  <c r="H58" i="1"/>
  <c r="I58" i="1"/>
  <c r="H59" i="1"/>
  <c r="I59" i="1" s="1"/>
  <c r="D60" i="1"/>
  <c r="F60" i="1"/>
  <c r="F62" i="1" s="1"/>
  <c r="H61" i="1"/>
  <c r="I61" i="1"/>
  <c r="D62" i="1"/>
  <c r="I55" i="1" l="1"/>
  <c r="H60" i="1"/>
  <c r="I60" i="1" s="1"/>
  <c r="H36" i="1"/>
  <c r="I36" i="1" s="1"/>
  <c r="F33" i="1"/>
  <c r="F45" i="1" s="1"/>
  <c r="H6" i="1"/>
  <c r="I6" i="1" s="1"/>
  <c r="J5" i="1"/>
  <c r="J6" i="1" s="1"/>
  <c r="J11" i="1" s="1"/>
  <c r="J14" i="1" s="1"/>
  <c r="J15" i="1" s="1"/>
  <c r="J16" i="1" s="1"/>
  <c r="J17" i="1" s="1"/>
  <c r="J18" i="1" s="1"/>
  <c r="J19" i="1" s="1"/>
  <c r="J20" i="1" s="1"/>
  <c r="J22" i="1" s="1"/>
  <c r="J28" i="1" s="1"/>
  <c r="J29" i="1" s="1"/>
  <c r="J30" i="1" s="1"/>
  <c r="J31" i="1" s="1"/>
  <c r="D33" i="1"/>
  <c r="D45" i="1" s="1"/>
  <c r="H22" i="1"/>
  <c r="I22" i="1" s="1"/>
  <c r="F63" i="1"/>
  <c r="H62" i="1"/>
  <c r="D44" i="1"/>
  <c r="D63" i="1"/>
  <c r="I34" i="1"/>
  <c r="I23" i="1"/>
  <c r="H12" i="1"/>
  <c r="I10" i="1"/>
  <c r="F44" i="1"/>
  <c r="J33" i="1" l="1"/>
  <c r="J38" i="1" s="1"/>
  <c r="J39" i="1" s="1"/>
  <c r="J40" i="1" s="1"/>
  <c r="J41" i="1" s="1"/>
  <c r="J42" i="1" s="1"/>
  <c r="J43" i="1" s="1"/>
  <c r="J48" i="1" s="1"/>
  <c r="J49" i="1" s="1"/>
  <c r="J50" i="1" s="1"/>
  <c r="J51" i="1" s="1"/>
  <c r="J52" i="1" s="1"/>
  <c r="D47" i="1"/>
  <c r="D51" i="1" s="1"/>
  <c r="D52" i="1" s="1"/>
  <c r="F47" i="1"/>
  <c r="F51" i="1" s="1"/>
  <c r="F52" i="1" s="1"/>
  <c r="H33" i="1"/>
  <c r="I33" i="1" s="1"/>
  <c r="I12" i="1"/>
  <c r="H11" i="1"/>
  <c r="H63" i="1"/>
  <c r="I63" i="1" s="1"/>
  <c r="I62" i="1"/>
  <c r="J47" i="1"/>
  <c r="E45" i="1" l="1"/>
  <c r="G45" i="1"/>
  <c r="E44" i="1"/>
  <c r="G44" i="1"/>
  <c r="I11" i="1"/>
  <c r="H47" i="1"/>
  <c r="I47" i="1" l="1"/>
  <c r="H51" i="1"/>
  <c r="I51" i="1" s="1"/>
</calcChain>
</file>

<file path=xl/comments1.xml><?xml version="1.0" encoding="utf-8"?>
<comments xmlns="http://schemas.openxmlformats.org/spreadsheetml/2006/main">
  <authors>
    <author>JMH</author>
  </authors>
  <commentList>
    <comment ref="D5" authorId="0" shapeId="0">
      <text>
        <r>
          <rPr>
            <b/>
            <sz val="10"/>
            <color indexed="81"/>
            <rFont val="Tahoma"/>
            <family val="2"/>
          </rPr>
          <t xml:space="preserve">JMH: Part B ADAP includes admin costs. 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5" authorId="0" shapeId="0">
      <text>
        <r>
          <rPr>
            <b/>
            <sz val="10"/>
            <color indexed="81"/>
            <rFont val="Tahoma"/>
            <family val="2"/>
          </rPr>
          <t xml:space="preserve">JMH: Part B ADAP includes admin costs. 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Jonathan Hanft</author>
    <author>JMH</author>
  </authors>
  <commentList>
    <comment ref="F67" authorId="0" shapeId="0">
      <text>
        <r>
          <rPr>
            <b/>
            <sz val="8"/>
            <color indexed="81"/>
            <rFont val="Tahoma"/>
            <family val="2"/>
          </rPr>
          <t>Jonathan Hanft:</t>
        </r>
        <r>
          <rPr>
            <sz val="8"/>
            <color indexed="81"/>
            <rFont val="Tahoma"/>
            <family val="2"/>
          </rPr>
          <t xml:space="preserve">
Does not include ADAP (for calculation purposes).</t>
        </r>
      </text>
    </comment>
    <comment ref="F77" authorId="0" shapeId="0">
      <text>
        <r>
          <rPr>
            <b/>
            <sz val="8"/>
            <color indexed="81"/>
            <rFont val="Tahoma"/>
            <family val="2"/>
          </rPr>
          <t>Jonathan Hanft:</t>
        </r>
        <r>
          <rPr>
            <sz val="8"/>
            <color indexed="81"/>
            <rFont val="Tahoma"/>
            <family val="2"/>
          </rPr>
          <t xml:space="preserve">
Does not include ADAP (for calculation purposes).</t>
        </r>
      </text>
    </comment>
    <comment ref="D81" authorId="1" shapeId="0">
      <text>
        <r>
          <rPr>
            <b/>
            <sz val="10"/>
            <color indexed="81"/>
            <rFont val="Tahoma"/>
            <family val="2"/>
          </rPr>
          <t xml:space="preserve">JMH: % of Part A to Core Medical Services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81" authorId="1" shapeId="0">
      <text>
        <r>
          <rPr>
            <b/>
            <sz val="10"/>
            <color indexed="81"/>
            <rFont val="Tahoma"/>
            <family val="2"/>
          </rPr>
          <t>JMH: % Part A MAI in Core Medical Services.</t>
        </r>
      </text>
    </comment>
    <comment ref="F81" authorId="1" shapeId="0">
      <text>
        <r>
          <rPr>
            <b/>
            <sz val="10"/>
            <color indexed="81"/>
            <rFont val="Tahoma"/>
            <family val="2"/>
          </rPr>
          <t>JMH: % of Part B (including ADAP) in Core Medical services.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82" authorId="1" shapeId="0">
      <text>
        <r>
          <rPr>
            <b/>
            <sz val="10"/>
            <color indexed="81"/>
            <rFont val="Tahoma"/>
            <family val="2"/>
          </rPr>
          <t xml:space="preserve">JMH: % of Part A and Part B in Core Medical services. </t>
        </r>
      </text>
    </comment>
  </commentList>
</comments>
</file>

<file path=xl/sharedStrings.xml><?xml version="1.0" encoding="utf-8"?>
<sst xmlns="http://schemas.openxmlformats.org/spreadsheetml/2006/main" count="144" uniqueCount="105">
  <si>
    <t>Available for Services</t>
  </si>
  <si>
    <t>Total Funds Available</t>
  </si>
  <si>
    <t xml:space="preserve">Rebate from Part B ADAP </t>
  </si>
  <si>
    <t>Part A and B Subtotal</t>
  </si>
  <si>
    <t>Part B ADAP MAI</t>
  </si>
  <si>
    <t>Part B Base Award</t>
  </si>
  <si>
    <t>Part B ADAP Award</t>
  </si>
  <si>
    <t>Part A MAI Award</t>
  </si>
  <si>
    <t>Part A Formula + Supplemental Award</t>
  </si>
  <si>
    <t>Part A Supplemental Award</t>
  </si>
  <si>
    <t>Part A Formula Award</t>
  </si>
  <si>
    <t>(Over)/Under Obligated</t>
  </si>
  <si>
    <t>TOTAL BUDGET:</t>
  </si>
  <si>
    <t>Quality Management:</t>
  </si>
  <si>
    <t>Planning Council:</t>
  </si>
  <si>
    <t xml:space="preserve"> </t>
  </si>
  <si>
    <t>Administration:</t>
  </si>
  <si>
    <t>Services Sub-Total:</t>
  </si>
  <si>
    <t>Supportive Services SubTotal</t>
  </si>
  <si>
    <t>Core Medical Services SubTotal</t>
  </si>
  <si>
    <t>Linguistic Services</t>
  </si>
  <si>
    <t>Legal Services</t>
  </si>
  <si>
    <t>Referral for Health Care/Supportive Services</t>
  </si>
  <si>
    <t>Health Education/Risk Reduction</t>
  </si>
  <si>
    <t>Outreach Services (MAI funded)</t>
  </si>
  <si>
    <t>Psychosocial Support Services</t>
  </si>
  <si>
    <t>On-Site Meals</t>
  </si>
  <si>
    <t>Home Delivered Meals</t>
  </si>
  <si>
    <t>Food Vouchers</t>
  </si>
  <si>
    <t>Food Shelf</t>
  </si>
  <si>
    <t>Food Bank / Home Delivered Meals</t>
  </si>
  <si>
    <t>Benefits Counseling</t>
  </si>
  <si>
    <t>Non-Medical Case Management</t>
  </si>
  <si>
    <t>Housing Services</t>
  </si>
  <si>
    <t>Medical Transportation Services</t>
  </si>
  <si>
    <t>Emergency Financial Assistance</t>
  </si>
  <si>
    <t>SUPPORTIVE SERVICES</t>
  </si>
  <si>
    <t>Mental Health</t>
  </si>
  <si>
    <t>Medical Case Management</t>
  </si>
  <si>
    <t>GREATER MINNESOTA SET ASIDE</t>
  </si>
  <si>
    <t xml:space="preserve"> Medical Nutritional Therapy </t>
  </si>
  <si>
    <t>Home and Community-Based Health Services</t>
  </si>
  <si>
    <t>Substance Abuse Services (Outpatient)</t>
  </si>
  <si>
    <t>Oral Health Care</t>
  </si>
  <si>
    <t>Early Intervention Services</t>
  </si>
  <si>
    <t>Mental Health Services</t>
  </si>
  <si>
    <t>Health Insurance Premium/ Cost Sharing Assistance</t>
  </si>
  <si>
    <t>MCM - Adult Foster Care</t>
  </si>
  <si>
    <t>Treatment Adherence</t>
  </si>
  <si>
    <t>ADAP Treatments</t>
  </si>
  <si>
    <t>CORE MEDICAL SERVICES</t>
  </si>
  <si>
    <t>Running Total</t>
  </si>
  <si>
    <t>% Change</t>
  </si>
  <si>
    <t xml:space="preserve">Change                    </t>
  </si>
  <si>
    <t>Allocation by Activity</t>
  </si>
  <si>
    <t>Allocation by Category</t>
  </si>
  <si>
    <t>Service Activity</t>
  </si>
  <si>
    <t>HRSA Service Category</t>
  </si>
  <si>
    <t>Priority</t>
  </si>
  <si>
    <t>Service Area</t>
  </si>
  <si>
    <t>Part A</t>
  </si>
  <si>
    <t>Part A MAI</t>
  </si>
  <si>
    <t>Part B</t>
  </si>
  <si>
    <t xml:space="preserve">Part B MAI </t>
  </si>
  <si>
    <t xml:space="preserve">Rebate </t>
  </si>
  <si>
    <t>TOTAL</t>
  </si>
  <si>
    <t>Outpatient/Ambulatory Medical Care</t>
  </si>
  <si>
    <t xml:space="preserve">Primary Care </t>
  </si>
  <si>
    <t xml:space="preserve">Medical Case Management </t>
  </si>
  <si>
    <t xml:space="preserve">Health Insurance Premium/Cost Sharing Asst. </t>
  </si>
  <si>
    <t>Medical Nutritional Therapy</t>
  </si>
  <si>
    <t>Home  &amp; Community-Based Health Srvcs.</t>
  </si>
  <si>
    <t>Core Medical Service SubTotal</t>
  </si>
  <si>
    <t>Greater Minnesota Targeted Services</t>
  </si>
  <si>
    <t>Treatment Adherence Counseling</t>
  </si>
  <si>
    <t>Psychosocial Support</t>
  </si>
  <si>
    <t>Referral for Healthcare/Supportive Services</t>
  </si>
  <si>
    <t xml:space="preserve">Outreach Services  </t>
  </si>
  <si>
    <t xml:space="preserve">Supportive Services SubTotal </t>
  </si>
  <si>
    <t xml:space="preserve">Planning Council Budget: (Incl. Needs Assessment): </t>
  </si>
  <si>
    <t>Quality Mangement:</t>
  </si>
  <si>
    <t>Grant Awards</t>
  </si>
  <si>
    <t xml:space="preserve">Part A Formula + Supplemental </t>
  </si>
  <si>
    <t>Part A Minority AIDS Initiative (MAI)</t>
  </si>
  <si>
    <t>Part A Minority AIDS Initiative (MAI) Overlap</t>
  </si>
  <si>
    <t xml:space="preserve">Part B Base </t>
  </si>
  <si>
    <t xml:space="preserve">Part B ADAP </t>
  </si>
  <si>
    <t>Part B ADAP MAI Overlap</t>
  </si>
  <si>
    <t>Rebate from Part B ADAP</t>
  </si>
  <si>
    <t xml:space="preserve">TOTAL FUNDS AVAILABLE </t>
  </si>
  <si>
    <t>Available for services</t>
  </si>
  <si>
    <t>(Over) / Under obligated</t>
  </si>
  <si>
    <t>B</t>
  </si>
  <si>
    <t xml:space="preserve">Core Medical </t>
  </si>
  <si>
    <t>A</t>
  </si>
  <si>
    <t>A MAI</t>
  </si>
  <si>
    <t>A + B</t>
  </si>
  <si>
    <t>.</t>
  </si>
  <si>
    <t>FY 2018 (Applications)</t>
  </si>
  <si>
    <t>Medical Case Management - MAI</t>
  </si>
  <si>
    <t>Outpatient Healthcare</t>
  </si>
  <si>
    <t>Outpatient Healthcare - MAI</t>
  </si>
  <si>
    <t>FY 2018 Application Allocations Proposal - No Expenditure Waiver</t>
  </si>
  <si>
    <t>FY2018 by Area/Activity</t>
  </si>
  <si>
    <t>FY 2017 (Post-award)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</si>
</sst>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name val="Geneva"/>
    </font>
    <font>
      <sz val="9"/>
      <name val="Geneva"/>
    </font>
    <font>
      <b/>
      <sz val="9"/>
      <color rgb="FF0000CC"/>
      <name val="Arial"/>
      <family val="2"/>
    </font>
    <font>
      <sz val="10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</cellStyleXfs>
  <cellXfs count="552">
    <xf numFmtId="0" fontId="0" fillId="0" borderId="0" xfId="0"/>
    <xf numFmtId="0" fontId="2" fillId="0" borderId="0" xfId="3"/>
    <xf numFmtId="9" fontId="2" fillId="0" borderId="0" xfId="4"/>
    <xf numFmtId="41" fontId="2" fillId="0" borderId="0" xfId="3" applyNumberFormat="1"/>
    <xf numFmtId="0" fontId="2" fillId="0" borderId="0" xfId="3" applyAlignment="1">
      <alignment wrapText="1"/>
    </xf>
    <xf numFmtId="9" fontId="2" fillId="0" borderId="0" xfId="4" applyNumberFormat="1"/>
    <xf numFmtId="164" fontId="2" fillId="0" borderId="1" xfId="5" applyNumberFormat="1" applyFont="1" applyBorder="1"/>
    <xf numFmtId="9" fontId="2" fillId="0" borderId="2" xfId="4" applyFont="1" applyBorder="1" applyProtection="1">
      <protection locked="0"/>
    </xf>
    <xf numFmtId="41" fontId="3" fillId="0" borderId="3" xfId="5" applyNumberFormat="1" applyFont="1" applyFill="1" applyBorder="1"/>
    <xf numFmtId="41" fontId="3" fillId="0" borderId="4" xfId="5" applyNumberFormat="1" applyFont="1" applyFill="1" applyBorder="1"/>
    <xf numFmtId="41" fontId="2" fillId="0" borderId="5" xfId="5" applyNumberFormat="1" applyFont="1" applyFill="1" applyBorder="1"/>
    <xf numFmtId="164" fontId="3" fillId="0" borderId="6" xfId="5" applyNumberFormat="1" applyFont="1" applyFill="1" applyBorder="1" applyAlignment="1">
      <alignment horizontal="right"/>
    </xf>
    <xf numFmtId="164" fontId="4" fillId="0" borderId="0" xfId="5" applyNumberFormat="1" applyFont="1"/>
    <xf numFmtId="164" fontId="4" fillId="0" borderId="0" xfId="5" applyNumberFormat="1" applyFont="1" applyAlignment="1">
      <alignment horizontal="center"/>
    </xf>
    <xf numFmtId="164" fontId="2" fillId="0" borderId="7" xfId="5" applyNumberFormat="1" applyFont="1" applyBorder="1"/>
    <xf numFmtId="9" fontId="2" fillId="0" borderId="8" xfId="4" applyFont="1" applyBorder="1" applyProtection="1">
      <protection locked="0"/>
    </xf>
    <xf numFmtId="41" fontId="2" fillId="0" borderId="9" xfId="5" applyNumberFormat="1" applyFont="1" applyFill="1" applyBorder="1"/>
    <xf numFmtId="41" fontId="2" fillId="0" borderId="10" xfId="5" applyNumberFormat="1" applyFont="1" applyFill="1" applyBorder="1"/>
    <xf numFmtId="41" fontId="5" fillId="0" borderId="10" xfId="5" applyNumberFormat="1" applyFont="1" applyFill="1" applyBorder="1"/>
    <xf numFmtId="41" fontId="2" fillId="0" borderId="11" xfId="5" applyNumberFormat="1" applyFont="1" applyFill="1" applyBorder="1"/>
    <xf numFmtId="164" fontId="5" fillId="0" borderId="12" xfId="5" applyNumberFormat="1" applyFont="1" applyFill="1" applyBorder="1" applyAlignment="1">
      <alignment horizontal="right"/>
    </xf>
    <xf numFmtId="164" fontId="2" fillId="0" borderId="13" xfId="5" applyNumberFormat="1" applyFont="1" applyBorder="1"/>
    <xf numFmtId="41" fontId="6" fillId="0" borderId="10" xfId="6" applyNumberFormat="1" applyFont="1" applyFill="1" applyBorder="1" applyAlignment="1">
      <alignment shrinkToFit="1"/>
    </xf>
    <xf numFmtId="0" fontId="6" fillId="0" borderId="13" xfId="3" applyFont="1" applyFill="1" applyBorder="1" applyAlignment="1">
      <alignment horizontal="right"/>
    </xf>
    <xf numFmtId="164" fontId="4" fillId="0" borderId="14" xfId="5" applyNumberFormat="1" applyFont="1" applyBorder="1"/>
    <xf numFmtId="9" fontId="2" fillId="0" borderId="15" xfId="4" applyFont="1" applyBorder="1" applyProtection="1">
      <protection locked="0"/>
    </xf>
    <xf numFmtId="41" fontId="6" fillId="0" borderId="16" xfId="6" applyNumberFormat="1" applyFont="1" applyFill="1" applyBorder="1" applyAlignment="1">
      <alignment shrinkToFit="1"/>
    </xf>
    <xf numFmtId="0" fontId="6" fillId="0" borderId="17" xfId="3" applyFont="1" applyFill="1" applyBorder="1" applyAlignment="1">
      <alignment horizontal="right"/>
    </xf>
    <xf numFmtId="0" fontId="6" fillId="0" borderId="7" xfId="3" applyFont="1" applyFill="1" applyBorder="1" applyAlignment="1">
      <alignment horizontal="right"/>
    </xf>
    <xf numFmtId="41" fontId="6" fillId="0" borderId="16" xfId="6" applyNumberFormat="1" applyFont="1" applyFill="1" applyBorder="1"/>
    <xf numFmtId="164" fontId="2" fillId="0" borderId="18" xfId="5" applyNumberFormat="1" applyFont="1" applyBorder="1"/>
    <xf numFmtId="9" fontId="2" fillId="0" borderId="19" xfId="4" applyFont="1" applyBorder="1" applyProtection="1">
      <protection locked="0"/>
    </xf>
    <xf numFmtId="41" fontId="2" fillId="0" borderId="20" xfId="5" applyNumberFormat="1" applyFont="1" applyFill="1" applyBorder="1"/>
    <xf numFmtId="9" fontId="2" fillId="0" borderId="21" xfId="4" applyFont="1" applyFill="1" applyBorder="1"/>
    <xf numFmtId="41" fontId="6" fillId="0" borderId="22" xfId="6" applyNumberFormat="1" applyFont="1" applyFill="1" applyBorder="1" applyAlignment="1">
      <alignment shrinkToFit="1"/>
    </xf>
    <xf numFmtId="9" fontId="2" fillId="0" borderId="23" xfId="5" applyNumberFormat="1" applyFont="1" applyFill="1" applyBorder="1"/>
    <xf numFmtId="0" fontId="6" fillId="0" borderId="24" xfId="3" applyFont="1" applyFill="1" applyBorder="1" applyAlignment="1">
      <alignment horizontal="right"/>
    </xf>
    <xf numFmtId="0" fontId="7" fillId="0" borderId="0" xfId="3" applyFont="1" applyFill="1"/>
    <xf numFmtId="164" fontId="6" fillId="2" borderId="25" xfId="5" applyNumberFormat="1" applyFont="1" applyFill="1" applyBorder="1"/>
    <xf numFmtId="9" fontId="2" fillId="3" borderId="26" xfId="4" applyFont="1" applyFill="1" applyBorder="1"/>
    <xf numFmtId="41" fontId="2" fillId="3" borderId="27" xfId="5" applyNumberFormat="1" applyFont="1" applyFill="1" applyBorder="1"/>
    <xf numFmtId="41" fontId="2" fillId="3" borderId="28" xfId="5" applyNumberFormat="1" applyFont="1" applyFill="1" applyBorder="1"/>
    <xf numFmtId="41" fontId="6" fillId="3" borderId="26" xfId="5" applyNumberFormat="1" applyFont="1" applyFill="1" applyBorder="1"/>
    <xf numFmtId="41" fontId="2" fillId="3" borderId="29" xfId="5" applyNumberFormat="1" applyFont="1" applyFill="1" applyBorder="1"/>
    <xf numFmtId="41" fontId="6" fillId="3" borderId="30" xfId="5" applyNumberFormat="1" applyFont="1" applyFill="1" applyBorder="1"/>
    <xf numFmtId="164" fontId="8" fillId="3" borderId="25" xfId="5" applyNumberFormat="1" applyFont="1" applyFill="1" applyBorder="1" applyAlignment="1">
      <alignment horizontal="right"/>
    </xf>
    <xf numFmtId="164" fontId="2" fillId="0" borderId="6" xfId="5" applyNumberFormat="1" applyFont="1" applyBorder="1"/>
    <xf numFmtId="41" fontId="6" fillId="0" borderId="3" xfId="5" applyNumberFormat="1" applyFont="1" applyBorder="1" applyProtection="1"/>
    <xf numFmtId="41" fontId="2" fillId="0" borderId="3" xfId="5" applyNumberFormat="1" applyFont="1" applyBorder="1" applyProtection="1">
      <protection locked="0"/>
    </xf>
    <xf numFmtId="41" fontId="6" fillId="0" borderId="4" xfId="5" applyNumberFormat="1" applyFont="1" applyBorder="1" applyProtection="1">
      <protection locked="0"/>
    </xf>
    <xf numFmtId="41" fontId="2" fillId="0" borderId="5" xfId="5" applyNumberFormat="1" applyFont="1" applyBorder="1" applyProtection="1">
      <protection locked="0"/>
    </xf>
    <xf numFmtId="41" fontId="6" fillId="0" borderId="4" xfId="5" applyNumberFormat="1" applyFont="1" applyBorder="1"/>
    <xf numFmtId="164" fontId="9" fillId="0" borderId="6" xfId="5" applyNumberFormat="1" applyFont="1" applyBorder="1" applyAlignment="1">
      <alignment horizontal="right"/>
    </xf>
    <xf numFmtId="164" fontId="4" fillId="0" borderId="27" xfId="5" applyNumberFormat="1" applyFont="1" applyBorder="1"/>
    <xf numFmtId="164" fontId="4" fillId="0" borderId="31" xfId="5" applyNumberFormat="1" applyFont="1" applyBorder="1" applyAlignment="1">
      <alignment horizontal="center"/>
    </xf>
    <xf numFmtId="164" fontId="2" fillId="0" borderId="17" xfId="5" applyNumberFormat="1" applyFont="1" applyBorder="1"/>
    <xf numFmtId="9" fontId="2" fillId="0" borderId="32" xfId="4" applyFont="1" applyBorder="1" applyProtection="1">
      <protection locked="0"/>
    </xf>
    <xf numFmtId="41" fontId="2" fillId="0" borderId="10" xfId="5" applyNumberFormat="1" applyFont="1" applyBorder="1" applyProtection="1">
      <protection locked="0"/>
    </xf>
    <xf numFmtId="41" fontId="2" fillId="0" borderId="16" xfId="3" applyNumberFormat="1" applyBorder="1"/>
    <xf numFmtId="41" fontId="2" fillId="0" borderId="33" xfId="3" applyNumberFormat="1" applyFont="1" applyBorder="1"/>
    <xf numFmtId="41" fontId="2" fillId="0" borderId="11" xfId="3" applyNumberFormat="1" applyBorder="1"/>
    <xf numFmtId="164" fontId="9" fillId="0" borderId="33" xfId="5" applyNumberFormat="1" applyFont="1" applyBorder="1" applyAlignment="1">
      <alignment horizontal="right"/>
    </xf>
    <xf numFmtId="164" fontId="4" fillId="0" borderId="0" xfId="5" applyNumberFormat="1" applyFont="1" applyBorder="1"/>
    <xf numFmtId="164" fontId="4" fillId="0" borderId="34" xfId="5" applyNumberFormat="1" applyFont="1" applyBorder="1" applyAlignment="1">
      <alignment horizontal="center"/>
    </xf>
    <xf numFmtId="41" fontId="2" fillId="0" borderId="0" xfId="3" applyNumberFormat="1" applyBorder="1"/>
    <xf numFmtId="164" fontId="6" fillId="0" borderId="24" xfId="5" applyNumberFormat="1" applyFont="1" applyBorder="1"/>
    <xf numFmtId="9" fontId="6" fillId="0" borderId="35" xfId="4" applyFont="1" applyBorder="1" applyProtection="1">
      <protection locked="0"/>
    </xf>
    <xf numFmtId="41" fontId="6" fillId="0" borderId="21" xfId="5" applyNumberFormat="1" applyFont="1" applyBorder="1" applyProtection="1">
      <protection locked="0"/>
    </xf>
    <xf numFmtId="41" fontId="6" fillId="0" borderId="36" xfId="5" applyNumberFormat="1" applyFont="1" applyBorder="1" applyProtection="1">
      <protection locked="0"/>
    </xf>
    <xf numFmtId="41" fontId="6" fillId="0" borderId="23" xfId="5" applyNumberFormat="1" applyFont="1" applyBorder="1" applyProtection="1">
      <protection locked="0"/>
    </xf>
    <xf numFmtId="164" fontId="9" fillId="0" borderId="37" xfId="5" applyNumberFormat="1" applyFont="1" applyBorder="1" applyAlignment="1">
      <alignment horizontal="right"/>
    </xf>
    <xf numFmtId="164" fontId="4" fillId="0" borderId="38" xfId="5" applyNumberFormat="1" applyFont="1" applyBorder="1"/>
    <xf numFmtId="164" fontId="4" fillId="0" borderId="39" xfId="5" applyNumberFormat="1" applyFont="1" applyBorder="1" applyAlignment="1">
      <alignment horizontal="center"/>
    </xf>
    <xf numFmtId="9" fontId="2" fillId="0" borderId="0" xfId="4" applyFont="1" applyBorder="1" applyProtection="1">
      <protection locked="0"/>
    </xf>
    <xf numFmtId="41" fontId="2" fillId="0" borderId="0" xfId="5" applyNumberFormat="1" applyFont="1" applyBorder="1" applyProtection="1">
      <protection locked="0"/>
    </xf>
    <xf numFmtId="41" fontId="2" fillId="0" borderId="34" xfId="5" applyNumberFormat="1" applyFont="1" applyBorder="1" applyProtection="1">
      <protection locked="0"/>
    </xf>
    <xf numFmtId="41" fontId="2" fillId="0" borderId="0" xfId="5" applyNumberFormat="1" applyFont="1" applyBorder="1"/>
    <xf numFmtId="9" fontId="2" fillId="0" borderId="27" xfId="4" applyFont="1" applyBorder="1" applyProtection="1">
      <protection locked="0"/>
    </xf>
    <xf numFmtId="41" fontId="2" fillId="0" borderId="27" xfId="5" applyNumberFormat="1" applyFont="1" applyBorder="1" applyProtection="1">
      <protection locked="0"/>
    </xf>
    <xf numFmtId="9" fontId="5" fillId="4" borderId="4" xfId="2" applyFont="1" applyFill="1" applyBorder="1"/>
    <xf numFmtId="41" fontId="5" fillId="4" borderId="40" xfId="5" applyNumberFormat="1" applyFont="1" applyFill="1" applyBorder="1"/>
    <xf numFmtId="164" fontId="4" fillId="4" borderId="41" xfId="5" applyNumberFormat="1" applyFont="1" applyFill="1" applyBorder="1"/>
    <xf numFmtId="164" fontId="4" fillId="4" borderId="27" xfId="5" applyNumberFormat="1" applyFont="1" applyFill="1" applyBorder="1"/>
    <xf numFmtId="164" fontId="8" fillId="4" borderId="31" xfId="5" applyNumberFormat="1" applyFont="1" applyFill="1" applyBorder="1" applyAlignment="1">
      <alignment horizontal="left"/>
    </xf>
    <xf numFmtId="9" fontId="2" fillId="0" borderId="38" xfId="4" applyFont="1" applyBorder="1" applyProtection="1">
      <protection locked="0"/>
    </xf>
    <xf numFmtId="41" fontId="2" fillId="0" borderId="38" xfId="5" applyNumberFormat="1" applyFont="1" applyBorder="1" applyProtection="1">
      <protection locked="0"/>
    </xf>
    <xf numFmtId="9" fontId="5" fillId="5" borderId="21" xfId="4" applyFont="1" applyFill="1" applyBorder="1" applyProtection="1">
      <protection locked="0"/>
    </xf>
    <xf numFmtId="41" fontId="5" fillId="5" borderId="36" xfId="5" applyNumberFormat="1" applyFont="1" applyFill="1" applyBorder="1" applyProtection="1">
      <protection locked="0"/>
    </xf>
    <xf numFmtId="9" fontId="5" fillId="5" borderId="42" xfId="4" applyFont="1" applyFill="1" applyBorder="1" applyProtection="1">
      <protection locked="0"/>
    </xf>
    <xf numFmtId="41" fontId="5" fillId="5" borderId="36" xfId="5" applyNumberFormat="1" applyFont="1" applyFill="1" applyBorder="1"/>
    <xf numFmtId="164" fontId="10" fillId="5" borderId="43" xfId="5" applyNumberFormat="1" applyFont="1" applyFill="1" applyBorder="1"/>
    <xf numFmtId="164" fontId="10" fillId="5" borderId="42" xfId="5" applyNumberFormat="1" applyFont="1" applyFill="1" applyBorder="1"/>
    <xf numFmtId="164" fontId="11" fillId="5" borderId="37" xfId="5" applyNumberFormat="1" applyFont="1" applyFill="1" applyBorder="1" applyAlignment="1">
      <alignment horizontal="left"/>
    </xf>
    <xf numFmtId="164" fontId="2" fillId="4" borderId="1" xfId="5" applyNumberFormat="1" applyFont="1" applyFill="1" applyBorder="1"/>
    <xf numFmtId="9" fontId="6" fillId="4" borderId="28" xfId="4" applyFont="1" applyFill="1" applyBorder="1" applyProtection="1">
      <protection locked="0"/>
    </xf>
    <xf numFmtId="41" fontId="6" fillId="4" borderId="30" xfId="5" applyNumberFormat="1" applyFont="1" applyFill="1" applyBorder="1" applyProtection="1">
      <protection locked="0"/>
    </xf>
    <xf numFmtId="41" fontId="2" fillId="4" borderId="30" xfId="5" applyNumberFormat="1" applyFont="1" applyFill="1" applyBorder="1" applyProtection="1">
      <protection locked="0"/>
    </xf>
    <xf numFmtId="41" fontId="6" fillId="4" borderId="44" xfId="5" applyNumberFormat="1" applyFont="1" applyFill="1" applyBorder="1" applyProtection="1">
      <protection locked="0"/>
    </xf>
    <xf numFmtId="164" fontId="9" fillId="4" borderId="30" xfId="5" applyNumberFormat="1" applyFont="1" applyFill="1" applyBorder="1"/>
    <xf numFmtId="49" fontId="9" fillId="4" borderId="26" xfId="5" applyNumberFormat="1" applyFont="1" applyFill="1" applyBorder="1" applyAlignment="1">
      <alignment horizontal="left" vertical="center"/>
    </xf>
    <xf numFmtId="164" fontId="9" fillId="4" borderId="44" xfId="5" applyNumberFormat="1" applyFont="1" applyFill="1" applyBorder="1" applyAlignment="1">
      <alignment horizontal="right"/>
    </xf>
    <xf numFmtId="41" fontId="6" fillId="4" borderId="45" xfId="5" applyNumberFormat="1" applyFont="1" applyFill="1" applyBorder="1" applyProtection="1">
      <protection locked="0"/>
    </xf>
    <xf numFmtId="41" fontId="2" fillId="4" borderId="45" xfId="5" applyNumberFormat="1" applyFont="1" applyFill="1" applyBorder="1" applyProtection="1">
      <protection locked="0"/>
    </xf>
    <xf numFmtId="9" fontId="6" fillId="4" borderId="46" xfId="4" applyFont="1" applyFill="1" applyBorder="1" applyProtection="1">
      <protection locked="0"/>
    </xf>
    <xf numFmtId="41" fontId="6" fillId="4" borderId="47" xfId="5" applyNumberFormat="1" applyFont="1" applyFill="1" applyBorder="1" applyProtection="1">
      <protection locked="0"/>
    </xf>
    <xf numFmtId="41" fontId="2" fillId="4" borderId="47" xfId="5" applyNumberFormat="1" applyFont="1" applyFill="1" applyBorder="1" applyProtection="1">
      <protection locked="0"/>
    </xf>
    <xf numFmtId="41" fontId="6" fillId="4" borderId="48" xfId="5" applyNumberFormat="1" applyFont="1" applyFill="1" applyBorder="1" applyProtection="1">
      <protection locked="0"/>
    </xf>
    <xf numFmtId="164" fontId="9" fillId="4" borderId="27" xfId="5" applyNumberFormat="1" applyFont="1" applyFill="1" applyBorder="1"/>
    <xf numFmtId="49" fontId="9" fillId="4" borderId="27" xfId="5" applyNumberFormat="1" applyFont="1" applyFill="1" applyBorder="1" applyAlignment="1">
      <alignment horizontal="left" vertical="center"/>
    </xf>
    <xf numFmtId="41" fontId="2" fillId="0" borderId="3" xfId="5" applyNumberFormat="1" applyFont="1" applyFill="1" applyBorder="1" applyProtection="1">
      <protection locked="0"/>
    </xf>
    <xf numFmtId="41" fontId="2" fillId="0" borderId="40" xfId="5" applyNumberFormat="1" applyFont="1" applyBorder="1" applyProtection="1">
      <protection locked="0"/>
    </xf>
    <xf numFmtId="164" fontId="4" fillId="0" borderId="3" xfId="5" applyNumberFormat="1" applyFont="1" applyBorder="1"/>
    <xf numFmtId="49" fontId="4" fillId="0" borderId="27" xfId="5" applyNumberFormat="1" applyFont="1" applyBorder="1" applyAlignment="1">
      <alignment horizontal="left" vertical="center"/>
    </xf>
    <xf numFmtId="164" fontId="4" fillId="0" borderId="31" xfId="5" applyNumberFormat="1" applyFont="1" applyBorder="1" applyAlignment="1">
      <alignment horizontal="right"/>
    </xf>
    <xf numFmtId="41" fontId="2" fillId="0" borderId="10" xfId="5" applyNumberFormat="1" applyFont="1" applyFill="1" applyBorder="1" applyProtection="1">
      <protection locked="0"/>
    </xf>
    <xf numFmtId="41" fontId="2" fillId="0" borderId="33" xfId="5" applyNumberFormat="1" applyFont="1" applyBorder="1" applyProtection="1">
      <protection locked="0"/>
    </xf>
    <xf numFmtId="164" fontId="4" fillId="0" borderId="49" xfId="5" applyNumberFormat="1" applyFont="1" applyBorder="1"/>
    <xf numFmtId="49" fontId="4" fillId="0" borderId="50" xfId="5" applyNumberFormat="1" applyFont="1" applyBorder="1" applyAlignment="1">
      <alignment horizontal="left" vertical="center"/>
    </xf>
    <xf numFmtId="164" fontId="4" fillId="0" borderId="34" xfId="5" applyNumberFormat="1" applyFont="1" applyBorder="1" applyAlignment="1">
      <alignment horizontal="right"/>
    </xf>
    <xf numFmtId="0" fontId="4" fillId="0" borderId="11" xfId="3" applyFont="1" applyBorder="1"/>
    <xf numFmtId="165" fontId="2" fillId="0" borderId="0" xfId="3" applyNumberFormat="1"/>
    <xf numFmtId="164" fontId="4" fillId="0" borderId="10" xfId="5" applyNumberFormat="1" applyFont="1" applyBorder="1"/>
    <xf numFmtId="164" fontId="2" fillId="4" borderId="25" xfId="5" applyNumberFormat="1" applyFont="1" applyFill="1" applyBorder="1"/>
    <xf numFmtId="41" fontId="12" fillId="4" borderId="45" xfId="5" applyNumberFormat="1" applyFont="1" applyFill="1" applyBorder="1" applyProtection="1">
      <protection locked="0"/>
    </xf>
    <xf numFmtId="164" fontId="4" fillId="4" borderId="30" xfId="5" applyNumberFormat="1" applyFont="1" applyFill="1" applyBorder="1"/>
    <xf numFmtId="49" fontId="9" fillId="4" borderId="30" xfId="5" applyNumberFormat="1" applyFont="1" applyFill="1" applyBorder="1" applyAlignment="1">
      <alignment horizontal="left" vertical="center"/>
    </xf>
    <xf numFmtId="0" fontId="6" fillId="0" borderId="0" xfId="3" applyFont="1"/>
    <xf numFmtId="164" fontId="2" fillId="0" borderId="24" xfId="5" applyNumberFormat="1" applyFont="1" applyFill="1" applyBorder="1"/>
    <xf numFmtId="9" fontId="2" fillId="0" borderId="19" xfId="4" applyFont="1" applyFill="1" applyBorder="1" applyProtection="1">
      <protection locked="0"/>
    </xf>
    <xf numFmtId="41" fontId="2" fillId="0" borderId="21" xfId="5" applyNumberFormat="1" applyFont="1" applyFill="1" applyBorder="1" applyProtection="1">
      <protection locked="0"/>
    </xf>
    <xf numFmtId="41" fontId="2" fillId="0" borderId="36" xfId="5" applyNumberFormat="1" applyFont="1" applyFill="1" applyBorder="1" applyProtection="1">
      <protection locked="0"/>
    </xf>
    <xf numFmtId="0" fontId="4" fillId="0" borderId="23" xfId="3" applyFont="1" applyBorder="1"/>
    <xf numFmtId="49" fontId="4" fillId="0" borderId="51" xfId="3" applyNumberFormat="1" applyFont="1" applyBorder="1" applyAlignment="1">
      <alignment horizontal="left" vertical="center"/>
    </xf>
    <xf numFmtId="164" fontId="4" fillId="0" borderId="39" xfId="5" applyNumberFormat="1" applyFont="1" applyFill="1" applyBorder="1" applyAlignment="1">
      <alignment horizontal="right"/>
    </xf>
    <xf numFmtId="9" fontId="6" fillId="4" borderId="28" xfId="4" applyFont="1" applyFill="1" applyBorder="1"/>
    <xf numFmtId="41" fontId="6" fillId="4" borderId="45" xfId="3" applyNumberFormat="1" applyFont="1" applyFill="1" applyBorder="1"/>
    <xf numFmtId="0" fontId="2" fillId="4" borderId="30" xfId="3" applyFont="1" applyFill="1" applyBorder="1" applyAlignment="1"/>
    <xf numFmtId="49" fontId="9" fillId="4" borderId="28" xfId="5" applyNumberFormat="1" applyFont="1" applyFill="1" applyBorder="1" applyAlignment="1">
      <alignment horizontal="left" vertical="center"/>
    </xf>
    <xf numFmtId="41" fontId="6" fillId="4" borderId="44" xfId="3" applyNumberFormat="1" applyFont="1" applyFill="1" applyBorder="1"/>
    <xf numFmtId="0" fontId="6" fillId="4" borderId="30" xfId="3" applyFont="1" applyFill="1" applyBorder="1"/>
    <xf numFmtId="49" fontId="9" fillId="4" borderId="28" xfId="3" applyNumberFormat="1" applyFont="1" applyFill="1" applyBorder="1" applyAlignment="1">
      <alignment horizontal="left" vertical="center"/>
    </xf>
    <xf numFmtId="9" fontId="6" fillId="4" borderId="27" xfId="4" applyFont="1" applyFill="1" applyBorder="1" applyProtection="1">
      <protection locked="0"/>
    </xf>
    <xf numFmtId="41" fontId="2" fillId="4" borderId="52" xfId="5" applyNumberFormat="1" applyFont="1" applyFill="1" applyBorder="1" applyProtection="1">
      <protection locked="0"/>
    </xf>
    <xf numFmtId="41" fontId="2" fillId="4" borderId="28" xfId="5" applyNumberFormat="1" applyFont="1" applyFill="1" applyBorder="1" applyProtection="1">
      <protection locked="0"/>
    </xf>
    <xf numFmtId="0" fontId="6" fillId="4" borderId="30" xfId="3" applyFont="1" applyFill="1" applyBorder="1" applyAlignment="1"/>
    <xf numFmtId="9" fontId="2" fillId="4" borderId="26" xfId="4" applyFont="1" applyFill="1" applyBorder="1" applyProtection="1">
      <protection locked="0"/>
    </xf>
    <xf numFmtId="41" fontId="2" fillId="4" borderId="26" xfId="5" applyNumberFormat="1" applyFont="1" applyFill="1" applyBorder="1" applyProtection="1">
      <protection locked="0"/>
    </xf>
    <xf numFmtId="41" fontId="2" fillId="4" borderId="53" xfId="5" applyNumberFormat="1" applyFont="1" applyFill="1" applyBorder="1" applyProtection="1">
      <protection locked="0"/>
    </xf>
    <xf numFmtId="41" fontId="2" fillId="4" borderId="26" xfId="5" applyNumberFormat="1" applyFont="1" applyFill="1" applyBorder="1"/>
    <xf numFmtId="164" fontId="4" fillId="4" borderId="26" xfId="5" applyNumberFormat="1" applyFont="1" applyFill="1" applyBorder="1"/>
    <xf numFmtId="164" fontId="9" fillId="4" borderId="26" xfId="5" applyNumberFormat="1" applyFont="1" applyFill="1" applyBorder="1"/>
    <xf numFmtId="164" fontId="6" fillId="4" borderId="53" xfId="5" applyNumberFormat="1" applyFont="1" applyFill="1" applyBorder="1" applyAlignment="1">
      <alignment horizontal="left"/>
    </xf>
    <xf numFmtId="0" fontId="2" fillId="0" borderId="0" xfId="3" applyFill="1"/>
    <xf numFmtId="164" fontId="2" fillId="0" borderId="12" xfId="5" applyNumberFormat="1" applyFont="1" applyBorder="1"/>
    <xf numFmtId="9" fontId="2" fillId="0" borderId="8" xfId="4" applyFont="1" applyFill="1" applyBorder="1" applyProtection="1">
      <protection locked="0"/>
    </xf>
    <xf numFmtId="41" fontId="2" fillId="0" borderId="54" xfId="5" applyNumberFormat="1" applyFont="1" applyBorder="1" applyProtection="1">
      <protection locked="0"/>
    </xf>
    <xf numFmtId="41" fontId="2" fillId="0" borderId="55" xfId="5" applyNumberFormat="1" applyFont="1" applyBorder="1" applyProtection="1">
      <protection locked="0"/>
    </xf>
    <xf numFmtId="164" fontId="4" fillId="0" borderId="54" xfId="5" applyNumberFormat="1" applyFont="1" applyBorder="1"/>
    <xf numFmtId="164" fontId="4" fillId="0" borderId="0" xfId="5" applyNumberFormat="1" applyFont="1" applyBorder="1" applyAlignment="1">
      <alignment horizontal="right"/>
    </xf>
    <xf numFmtId="164" fontId="4" fillId="0" borderId="50" xfId="5" applyNumberFormat="1" applyFont="1" applyBorder="1" applyAlignment="1">
      <alignment horizontal="right"/>
    </xf>
    <xf numFmtId="9" fontId="2" fillId="0" borderId="0" xfId="4" applyFont="1" applyFill="1" applyBorder="1" applyProtection="1">
      <protection locked="0"/>
    </xf>
    <xf numFmtId="164" fontId="2" fillId="6" borderId="25" xfId="5" applyNumberFormat="1" applyFont="1" applyFill="1" applyBorder="1"/>
    <xf numFmtId="9" fontId="6" fillId="6" borderId="26" xfId="4" applyFont="1" applyFill="1" applyBorder="1" applyProtection="1">
      <protection locked="0"/>
    </xf>
    <xf numFmtId="41" fontId="6" fillId="6" borderId="30" xfId="5" applyNumberFormat="1" applyFont="1" applyFill="1" applyBorder="1" applyProtection="1">
      <protection locked="0"/>
    </xf>
    <xf numFmtId="41" fontId="2" fillId="6" borderId="30" xfId="5" applyNumberFormat="1" applyFont="1" applyFill="1" applyBorder="1" applyProtection="1">
      <protection locked="0"/>
    </xf>
    <xf numFmtId="41" fontId="6" fillId="6" borderId="44" xfId="5" applyNumberFormat="1" applyFont="1" applyFill="1" applyBorder="1" applyProtection="1">
      <protection locked="0"/>
    </xf>
    <xf numFmtId="41" fontId="2" fillId="6" borderId="26" xfId="5" applyNumberFormat="1" applyFont="1" applyFill="1" applyBorder="1" applyProtection="1">
      <protection locked="0"/>
    </xf>
    <xf numFmtId="164" fontId="4" fillId="6" borderId="30" xfId="5" applyNumberFormat="1" applyFont="1" applyFill="1" applyBorder="1"/>
    <xf numFmtId="0" fontId="2" fillId="6" borderId="26" xfId="3" applyFill="1" applyBorder="1"/>
    <xf numFmtId="164" fontId="9" fillId="6" borderId="53" xfId="5" applyNumberFormat="1" applyFont="1" applyFill="1" applyBorder="1"/>
    <xf numFmtId="164" fontId="2" fillId="5" borderId="1" xfId="5" applyNumberFormat="1" applyFont="1" applyFill="1" applyBorder="1"/>
    <xf numFmtId="9" fontId="2" fillId="5" borderId="2" xfId="4" applyFont="1" applyFill="1" applyBorder="1" applyProtection="1">
      <protection locked="0"/>
    </xf>
    <xf numFmtId="41" fontId="6" fillId="5" borderId="3" xfId="5" applyNumberFormat="1" applyFont="1" applyFill="1" applyBorder="1" applyProtection="1">
      <protection locked="0"/>
    </xf>
    <xf numFmtId="41" fontId="2" fillId="5" borderId="46" xfId="5" applyNumberFormat="1" applyFont="1" applyFill="1" applyBorder="1"/>
    <xf numFmtId="41" fontId="6" fillId="5" borderId="31" xfId="5" applyNumberFormat="1" applyFont="1" applyFill="1" applyBorder="1"/>
    <xf numFmtId="41" fontId="2" fillId="5" borderId="41" xfId="3" applyNumberFormat="1" applyFill="1" applyBorder="1"/>
    <xf numFmtId="0" fontId="2" fillId="5" borderId="56" xfId="3" applyFill="1" applyBorder="1"/>
    <xf numFmtId="49" fontId="13" fillId="5" borderId="47" xfId="3" applyNumberFormat="1" applyFont="1" applyFill="1" applyBorder="1" applyAlignment="1">
      <alignment horizontal="left" vertical="center"/>
    </xf>
    <xf numFmtId="164" fontId="9" fillId="5" borderId="44" xfId="5" applyNumberFormat="1" applyFont="1" applyFill="1" applyBorder="1" applyAlignment="1">
      <alignment horizontal="right"/>
    </xf>
    <xf numFmtId="9" fontId="6" fillId="5" borderId="46" xfId="4" applyFont="1" applyFill="1" applyBorder="1" applyProtection="1">
      <protection locked="0"/>
    </xf>
    <xf numFmtId="41" fontId="6" fillId="5" borderId="47" xfId="5" applyNumberFormat="1" applyFont="1" applyFill="1" applyBorder="1" applyProtection="1">
      <protection locked="0"/>
    </xf>
    <xf numFmtId="41" fontId="2" fillId="5" borderId="47" xfId="5" applyNumberFormat="1" applyFont="1" applyFill="1" applyBorder="1" applyProtection="1">
      <protection locked="0"/>
    </xf>
    <xf numFmtId="41" fontId="6" fillId="5" borderId="48" xfId="5" applyNumberFormat="1" applyFont="1" applyFill="1" applyBorder="1" applyProtection="1">
      <protection locked="0"/>
    </xf>
    <xf numFmtId="164" fontId="9" fillId="5" borderId="47" xfId="5" applyNumberFormat="1" applyFont="1" applyFill="1" applyBorder="1"/>
    <xf numFmtId="49" fontId="13" fillId="5" borderId="30" xfId="5" applyNumberFormat="1" applyFont="1" applyFill="1" applyBorder="1" applyAlignment="1">
      <alignment horizontal="left" vertical="center"/>
    </xf>
    <xf numFmtId="164" fontId="2" fillId="5" borderId="25" xfId="5" applyNumberFormat="1" applyFont="1" applyFill="1" applyBorder="1"/>
    <xf numFmtId="9" fontId="6" fillId="5" borderId="28" xfId="4" applyFont="1" applyFill="1" applyBorder="1" applyAlignment="1" applyProtection="1">
      <protection locked="0"/>
    </xf>
    <xf numFmtId="41" fontId="6" fillId="5" borderId="45" xfId="5" applyNumberFormat="1" applyFont="1" applyFill="1" applyBorder="1" applyProtection="1">
      <protection locked="0"/>
    </xf>
    <xf numFmtId="41" fontId="6" fillId="5" borderId="44" xfId="5" applyNumberFormat="1" applyFont="1" applyFill="1" applyBorder="1" applyProtection="1">
      <protection locked="0"/>
    </xf>
    <xf numFmtId="41" fontId="2" fillId="5" borderId="45" xfId="5" applyNumberFormat="1" applyFont="1" applyFill="1" applyBorder="1" applyProtection="1">
      <protection locked="0"/>
    </xf>
    <xf numFmtId="0" fontId="2" fillId="5" borderId="30" xfId="3" applyFill="1" applyBorder="1" applyAlignment="1"/>
    <xf numFmtId="49" fontId="13" fillId="5" borderId="28" xfId="5" applyNumberFormat="1" applyFont="1" applyFill="1" applyBorder="1" applyAlignment="1">
      <alignment horizontal="left" vertical="center"/>
    </xf>
    <xf numFmtId="9" fontId="6" fillId="5" borderId="28" xfId="4" applyFont="1" applyFill="1" applyBorder="1" applyProtection="1">
      <protection locked="0"/>
    </xf>
    <xf numFmtId="41" fontId="6" fillId="5" borderId="30" xfId="5" applyNumberFormat="1" applyFont="1" applyFill="1" applyBorder="1" applyProtection="1">
      <protection locked="0"/>
    </xf>
    <xf numFmtId="41" fontId="2" fillId="5" borderId="30" xfId="5" applyNumberFormat="1" applyFont="1" applyFill="1" applyBorder="1" applyProtection="1">
      <protection locked="0"/>
    </xf>
    <xf numFmtId="164" fontId="9" fillId="5" borderId="30" xfId="5" applyNumberFormat="1" applyFont="1" applyFill="1" applyBorder="1"/>
    <xf numFmtId="49" fontId="13" fillId="5" borderId="26" xfId="5" applyNumberFormat="1" applyFont="1" applyFill="1" applyBorder="1" applyAlignment="1">
      <alignment horizontal="left" vertical="center"/>
    </xf>
    <xf numFmtId="9" fontId="6" fillId="5" borderId="28" xfId="4" applyFont="1" applyFill="1" applyBorder="1" applyAlignment="1" applyProtection="1">
      <alignment horizontal="right"/>
      <protection locked="0"/>
    </xf>
    <xf numFmtId="41" fontId="14" fillId="5" borderId="45" xfId="5" applyNumberFormat="1" applyFont="1" applyFill="1" applyBorder="1" applyProtection="1">
      <protection locked="0"/>
    </xf>
    <xf numFmtId="41" fontId="2" fillId="0" borderId="21" xfId="5" applyNumberFormat="1" applyFont="1" applyFill="1" applyBorder="1"/>
    <xf numFmtId="41" fontId="2" fillId="0" borderId="37" xfId="5" applyNumberFormat="1" applyFont="1" applyFill="1" applyBorder="1"/>
    <xf numFmtId="164" fontId="10" fillId="0" borderId="21" xfId="5" applyNumberFormat="1" applyFont="1" applyFill="1" applyBorder="1" applyAlignment="1">
      <alignment horizontal="left" vertical="center"/>
    </xf>
    <xf numFmtId="49" fontId="15" fillId="0" borderId="50" xfId="5" applyNumberFormat="1" applyFont="1" applyFill="1" applyBorder="1" applyAlignment="1">
      <alignment horizontal="left" vertical="center"/>
    </xf>
    <xf numFmtId="164" fontId="4" fillId="0" borderId="34" xfId="5" applyNumberFormat="1" applyFont="1" applyFill="1" applyBorder="1" applyAlignment="1">
      <alignment horizontal="right"/>
    </xf>
    <xf numFmtId="164" fontId="2" fillId="5" borderId="25" xfId="5" applyNumberFormat="1" applyFont="1" applyFill="1" applyBorder="1" applyAlignment="1">
      <alignment horizontal="left"/>
    </xf>
    <xf numFmtId="164" fontId="9" fillId="5" borderId="45" xfId="5" applyNumberFormat="1" applyFont="1" applyFill="1" applyBorder="1"/>
    <xf numFmtId="49" fontId="13" fillId="5" borderId="45" xfId="5" applyNumberFormat="1" applyFont="1" applyFill="1" applyBorder="1" applyAlignment="1">
      <alignment horizontal="left" vertical="center"/>
    </xf>
    <xf numFmtId="164" fontId="2" fillId="0" borderId="6" xfId="3" applyNumberFormat="1" applyFill="1" applyBorder="1"/>
    <xf numFmtId="9" fontId="2" fillId="0" borderId="2" xfId="4" applyFont="1" applyFill="1" applyBorder="1"/>
    <xf numFmtId="41" fontId="2" fillId="0" borderId="9" xfId="3" applyNumberFormat="1" applyFont="1" applyFill="1" applyBorder="1"/>
    <xf numFmtId="41" fontId="2" fillId="7" borderId="57" xfId="3" applyNumberFormat="1" applyFont="1" applyFill="1" applyBorder="1"/>
    <xf numFmtId="0" fontId="2" fillId="0" borderId="40" xfId="3" applyFont="1" applyFill="1" applyBorder="1"/>
    <xf numFmtId="0" fontId="2" fillId="0" borderId="40" xfId="3" applyFill="1" applyBorder="1"/>
    <xf numFmtId="0" fontId="10" fillId="0" borderId="3" xfId="3" applyFont="1" applyFill="1" applyBorder="1"/>
    <xf numFmtId="49" fontId="15" fillId="0" borderId="27" xfId="3" applyNumberFormat="1" applyFont="1" applyFill="1" applyBorder="1" applyAlignment="1">
      <alignment horizontal="left" vertical="center"/>
    </xf>
    <xf numFmtId="0" fontId="2" fillId="0" borderId="31" xfId="3" applyFill="1" applyBorder="1" applyAlignment="1">
      <alignment horizontal="right"/>
    </xf>
    <xf numFmtId="164" fontId="2" fillId="0" borderId="17" xfId="3" applyNumberFormat="1" applyFill="1" applyBorder="1"/>
    <xf numFmtId="9" fontId="2" fillId="0" borderId="58" xfId="4" applyFont="1" applyFill="1" applyBorder="1"/>
    <xf numFmtId="41" fontId="2" fillId="7" borderId="10" xfId="3" applyNumberFormat="1" applyFont="1" applyFill="1" applyBorder="1"/>
    <xf numFmtId="0" fontId="2" fillId="0" borderId="33" xfId="3" applyFont="1" applyFill="1" applyBorder="1"/>
    <xf numFmtId="0" fontId="2" fillId="0" borderId="33" xfId="3" applyFill="1" applyBorder="1"/>
    <xf numFmtId="0" fontId="10" fillId="0" borderId="11" xfId="3" applyFont="1" applyFill="1" applyBorder="1"/>
    <xf numFmtId="49" fontId="15" fillId="0" borderId="0" xfId="3" applyNumberFormat="1" applyFont="1" applyFill="1" applyBorder="1" applyAlignment="1">
      <alignment horizontal="left" vertical="center"/>
    </xf>
    <xf numFmtId="0" fontId="2" fillId="0" borderId="34" xfId="3" applyFill="1" applyBorder="1" applyAlignment="1">
      <alignment horizontal="right"/>
    </xf>
    <xf numFmtId="164" fontId="2" fillId="0" borderId="7" xfId="3" applyNumberFormat="1" applyFill="1" applyBorder="1"/>
    <xf numFmtId="41" fontId="2" fillId="7" borderId="9" xfId="3" applyNumberFormat="1" applyFont="1" applyFill="1" applyBorder="1"/>
    <xf numFmtId="0" fontId="2" fillId="0" borderId="59" xfId="3" applyFont="1" applyFill="1" applyBorder="1"/>
    <xf numFmtId="0" fontId="2" fillId="0" borderId="59" xfId="3" applyFill="1" applyBorder="1"/>
    <xf numFmtId="0" fontId="10" fillId="0" borderId="9" xfId="3" applyFont="1" applyFill="1" applyBorder="1"/>
    <xf numFmtId="9" fontId="6" fillId="5" borderId="28" xfId="4" applyNumberFormat="1" applyFont="1" applyFill="1" applyBorder="1" applyProtection="1">
      <protection locked="0"/>
    </xf>
    <xf numFmtId="41" fontId="2" fillId="5" borderId="28" xfId="5" applyNumberFormat="1" applyFont="1" applyFill="1" applyBorder="1"/>
    <xf numFmtId="41" fontId="6" fillId="5" borderId="53" xfId="5" applyNumberFormat="1" applyFont="1" applyFill="1" applyBorder="1"/>
    <xf numFmtId="164" fontId="2" fillId="5" borderId="60" xfId="5" applyNumberFormat="1" applyFont="1" applyFill="1" applyBorder="1"/>
    <xf numFmtId="9" fontId="16" fillId="5" borderId="56" xfId="4" applyFont="1" applyFill="1" applyBorder="1" applyProtection="1">
      <protection locked="0"/>
    </xf>
    <xf numFmtId="41" fontId="16" fillId="5" borderId="30" xfId="5" applyNumberFormat="1" applyFont="1" applyFill="1" applyBorder="1" applyProtection="1">
      <protection locked="0"/>
    </xf>
    <xf numFmtId="41" fontId="16" fillId="5" borderId="44" xfId="5" applyNumberFormat="1" applyFont="1" applyFill="1" applyBorder="1" applyProtection="1">
      <protection locked="0"/>
    </xf>
    <xf numFmtId="164" fontId="9" fillId="5" borderId="26" xfId="5" applyNumberFormat="1" applyFont="1" applyFill="1" applyBorder="1"/>
    <xf numFmtId="164" fontId="6" fillId="5" borderId="41" xfId="5" applyNumberFormat="1" applyFont="1" applyFill="1" applyBorder="1" applyAlignment="1">
      <alignment horizontal="center"/>
    </xf>
    <xf numFmtId="9" fontId="6" fillId="5" borderId="41" xfId="4" applyFont="1" applyFill="1" applyBorder="1" applyAlignment="1">
      <alignment horizontal="center"/>
    </xf>
    <xf numFmtId="41" fontId="6" fillId="5" borderId="27" xfId="5" applyNumberFormat="1" applyFont="1" applyFill="1" applyBorder="1" applyAlignment="1">
      <alignment horizontal="center"/>
    </xf>
    <xf numFmtId="41" fontId="6" fillId="5" borderId="31" xfId="5" applyNumberFormat="1" applyFont="1" applyFill="1" applyBorder="1" applyAlignment="1">
      <alignment horizontal="center"/>
    </xf>
    <xf numFmtId="164" fontId="6" fillId="5" borderId="27" xfId="5" applyNumberFormat="1" applyFont="1" applyFill="1" applyBorder="1" applyAlignment="1">
      <alignment horizontal="center"/>
    </xf>
    <xf numFmtId="0" fontId="2" fillId="5" borderId="0" xfId="3" applyFill="1" applyBorder="1"/>
    <xf numFmtId="164" fontId="17" fillId="5" borderId="31" xfId="5" applyNumberFormat="1" applyFont="1" applyFill="1" applyBorder="1" applyAlignment="1"/>
    <xf numFmtId="164" fontId="6" fillId="0" borderId="61" xfId="5" applyNumberFormat="1" applyFont="1" applyBorder="1" applyAlignment="1">
      <alignment horizontal="center" wrapText="1"/>
    </xf>
    <xf numFmtId="9" fontId="6" fillId="0" borderId="62" xfId="4" applyFont="1" applyBorder="1" applyAlignment="1">
      <alignment horizontal="center"/>
    </xf>
    <xf numFmtId="41" fontId="9" fillId="0" borderId="63" xfId="5" applyNumberFormat="1" applyFont="1" applyBorder="1" applyAlignment="1">
      <alignment horizontal="center" wrapText="1"/>
    </xf>
    <xf numFmtId="41" fontId="6" fillId="0" borderId="64" xfId="5" applyNumberFormat="1" applyFont="1" applyBorder="1" applyAlignment="1">
      <alignment horizontal="center" wrapText="1"/>
    </xf>
    <xf numFmtId="41" fontId="6" fillId="0" borderId="25" xfId="5" applyNumberFormat="1" applyFont="1" applyBorder="1" applyAlignment="1">
      <alignment horizontal="center" wrapText="1"/>
    </xf>
    <xf numFmtId="41" fontId="6" fillId="0" borderId="65" xfId="5" applyNumberFormat="1" applyFont="1" applyBorder="1" applyAlignment="1">
      <alignment horizontal="center" wrapText="1"/>
    </xf>
    <xf numFmtId="164" fontId="6" fillId="0" borderId="62" xfId="5" applyNumberFormat="1" applyFont="1" applyBorder="1" applyAlignment="1">
      <alignment horizontal="center"/>
    </xf>
    <xf numFmtId="164" fontId="6" fillId="0" borderId="63" xfId="5" applyNumberFormat="1" applyFont="1" applyBorder="1" applyAlignment="1">
      <alignment horizontal="center" wrapText="1"/>
    </xf>
    <xf numFmtId="164" fontId="6" fillId="0" borderId="66" xfId="5" applyNumberFormat="1" applyFont="1" applyBorder="1" applyAlignment="1">
      <alignment horizontal="center"/>
    </xf>
    <xf numFmtId="164" fontId="18" fillId="0" borderId="18" xfId="5" applyNumberFormat="1" applyFont="1" applyFill="1" applyBorder="1" applyAlignment="1">
      <alignment horizontal="center"/>
    </xf>
    <xf numFmtId="9" fontId="18" fillId="0" borderId="35" xfId="4" applyFont="1" applyFill="1" applyBorder="1" applyAlignment="1">
      <alignment horizontal="center"/>
    </xf>
    <xf numFmtId="41" fontId="18" fillId="0" borderId="20" xfId="5" applyNumberFormat="1" applyFont="1" applyFill="1" applyBorder="1" applyAlignment="1">
      <alignment horizontal="center"/>
    </xf>
    <xf numFmtId="164" fontId="18" fillId="0" borderId="67" xfId="5" applyNumberFormat="1" applyFont="1" applyFill="1" applyBorder="1" applyAlignment="1">
      <alignment horizontal="center"/>
    </xf>
    <xf numFmtId="164" fontId="18" fillId="0" borderId="20" xfId="5" applyNumberFormat="1" applyFont="1" applyFill="1" applyBorder="1" applyAlignment="1">
      <alignment horizontal="center"/>
    </xf>
    <xf numFmtId="164" fontId="18" fillId="0" borderId="68" xfId="5" applyNumberFormat="1" applyFont="1" applyFill="1" applyBorder="1" applyAlignment="1">
      <alignment horizontal="center"/>
    </xf>
    <xf numFmtId="164" fontId="9" fillId="0" borderId="39" xfId="5" applyNumberFormat="1" applyFont="1" applyBorder="1" applyAlignment="1">
      <alignment horizontal="center"/>
    </xf>
    <xf numFmtId="164" fontId="9" fillId="0" borderId="38" xfId="5" applyNumberFormat="1" applyFont="1" applyBorder="1" applyAlignment="1">
      <alignment horizontal="center"/>
    </xf>
    <xf numFmtId="164" fontId="9" fillId="0" borderId="18" xfId="5" applyNumberFormat="1" applyFont="1" applyBorder="1" applyAlignment="1">
      <alignment horizontal="center"/>
    </xf>
    <xf numFmtId="164" fontId="9" fillId="0" borderId="34" xfId="5" applyNumberFormat="1" applyFont="1" applyBorder="1" applyAlignment="1">
      <alignment horizontal="center"/>
    </xf>
    <xf numFmtId="164" fontId="9" fillId="0" borderId="0" xfId="5" applyNumberFormat="1" applyFont="1" applyBorder="1" applyAlignment="1">
      <alignment horizontal="center"/>
    </xf>
    <xf numFmtId="164" fontId="9" fillId="0" borderId="13" xfId="5" applyNumberFormat="1" applyFont="1" applyBorder="1" applyAlignment="1">
      <alignment horizontal="center"/>
    </xf>
    <xf numFmtId="41" fontId="21" fillId="0" borderId="55" xfId="6" applyNumberFormat="1" applyFont="1" applyBorder="1" applyAlignment="1">
      <alignment horizontal="center"/>
    </xf>
    <xf numFmtId="41" fontId="21" fillId="0" borderId="72" xfId="6" applyNumberFormat="1" applyFont="1" applyBorder="1" applyAlignment="1">
      <alignment horizontal="center"/>
    </xf>
    <xf numFmtId="41" fontId="21" fillId="0" borderId="54" xfId="6" applyNumberFormat="1" applyFont="1" applyBorder="1" applyAlignment="1">
      <alignment horizontal="center"/>
    </xf>
    <xf numFmtId="41" fontId="21" fillId="0" borderId="73" xfId="6" applyNumberFormat="1" applyFont="1" applyBorder="1" applyAlignment="1">
      <alignment horizontal="center"/>
    </xf>
    <xf numFmtId="41" fontId="21" fillId="0" borderId="74" xfId="6" applyNumberFormat="1" applyFont="1" applyBorder="1" applyAlignment="1">
      <alignment horizontal="center"/>
    </xf>
    <xf numFmtId="1" fontId="9" fillId="5" borderId="44" xfId="5" applyNumberFormat="1" applyFont="1" applyFill="1" applyBorder="1" applyAlignment="1">
      <alignment horizontal="right"/>
    </xf>
    <xf numFmtId="0" fontId="13" fillId="5" borderId="26" xfId="3" applyFont="1" applyFill="1" applyBorder="1"/>
    <xf numFmtId="164" fontId="9" fillId="5" borderId="25" xfId="5" applyNumberFormat="1" applyFont="1" applyFill="1" applyBorder="1"/>
    <xf numFmtId="41" fontId="4" fillId="5" borderId="44" xfId="3" applyNumberFormat="1" applyFont="1" applyFill="1" applyBorder="1"/>
    <xf numFmtId="41" fontId="4" fillId="5" borderId="30" xfId="3" applyNumberFormat="1" applyFont="1" applyFill="1" applyBorder="1"/>
    <xf numFmtId="41" fontId="9" fillId="5" borderId="45" xfId="3" applyNumberFormat="1" applyFont="1" applyFill="1" applyBorder="1"/>
    <xf numFmtId="41" fontId="4" fillId="5" borderId="28" xfId="3" applyNumberFormat="1" applyFont="1" applyFill="1" applyBorder="1"/>
    <xf numFmtId="41" fontId="9" fillId="5" borderId="28" xfId="3" applyNumberFormat="1" applyFont="1" applyFill="1" applyBorder="1"/>
    <xf numFmtId="41" fontId="9" fillId="5" borderId="56" xfId="3" applyNumberFormat="1" applyFont="1" applyFill="1" applyBorder="1"/>
    <xf numFmtId="1" fontId="9" fillId="0" borderId="34" xfId="5" applyNumberFormat="1" applyFont="1" applyBorder="1" applyAlignment="1">
      <alignment horizontal="right"/>
    </xf>
    <xf numFmtId="164" fontId="9" fillId="0" borderId="26" xfId="5" applyNumberFormat="1" applyFont="1" applyBorder="1" applyAlignment="1">
      <alignment horizontal="center"/>
    </xf>
    <xf numFmtId="41" fontId="21" fillId="0" borderId="70" xfId="6" applyNumberFormat="1" applyFont="1" applyBorder="1" applyAlignment="1">
      <alignment horizontal="center"/>
    </xf>
    <xf numFmtId="41" fontId="21" fillId="0" borderId="26" xfId="6" applyNumberFormat="1" applyFont="1" applyBorder="1" applyAlignment="1">
      <alignment horizontal="center"/>
    </xf>
    <xf numFmtId="41" fontId="21" fillId="0" borderId="30" xfId="6" applyNumberFormat="1" applyFont="1" applyBorder="1" applyAlignment="1">
      <alignment horizontal="center"/>
    </xf>
    <xf numFmtId="41" fontId="21" fillId="0" borderId="29" xfId="6" applyNumberFormat="1" applyFont="1" applyBorder="1" applyAlignment="1">
      <alignment horizontal="center"/>
    </xf>
    <xf numFmtId="1" fontId="9" fillId="5" borderId="53" xfId="5" applyNumberFormat="1" applyFont="1" applyFill="1" applyBorder="1" applyAlignment="1">
      <alignment horizontal="right"/>
    </xf>
    <xf numFmtId="164" fontId="13" fillId="5" borderId="28" xfId="5" applyNumberFormat="1" applyFont="1" applyFill="1" applyBorder="1"/>
    <xf numFmtId="41" fontId="9" fillId="5" borderId="44" xfId="3" applyNumberFormat="1" applyFont="1" applyFill="1" applyBorder="1"/>
    <xf numFmtId="41" fontId="9" fillId="5" borderId="60" xfId="3" applyNumberFormat="1" applyFont="1" applyFill="1" applyBorder="1"/>
    <xf numFmtId="1" fontId="4" fillId="0" borderId="39" xfId="5" applyNumberFormat="1" applyFont="1" applyBorder="1" applyAlignment="1">
      <alignment horizontal="right"/>
    </xf>
    <xf numFmtId="164" fontId="10" fillId="0" borderId="67" xfId="5" applyNumberFormat="1" applyFont="1" applyBorder="1" applyAlignment="1">
      <alignment horizontal="right"/>
    </xf>
    <xf numFmtId="164" fontId="10" fillId="0" borderId="24" xfId="5" applyNumberFormat="1" applyFont="1" applyFill="1" applyBorder="1" applyAlignment="1">
      <alignment horizontal="left" vertical="center"/>
    </xf>
    <xf numFmtId="164" fontId="4" fillId="0" borderId="44" xfId="3" applyNumberFormat="1" applyFont="1" applyFill="1" applyBorder="1"/>
    <xf numFmtId="164" fontId="4" fillId="0" borderId="30" xfId="3" applyNumberFormat="1" applyFont="1" applyFill="1" applyBorder="1"/>
    <xf numFmtId="41" fontId="4" fillId="0" borderId="45" xfId="3" applyNumberFormat="1" applyFont="1" applyBorder="1"/>
    <xf numFmtId="41" fontId="4" fillId="0" borderId="28" xfId="3" applyNumberFormat="1" applyFont="1" applyBorder="1"/>
    <xf numFmtId="41" fontId="4" fillId="0" borderId="71" xfId="3" applyNumberFormat="1" applyFont="1" applyBorder="1"/>
    <xf numFmtId="1" fontId="9" fillId="0" borderId="31" xfId="5" applyNumberFormat="1" applyFont="1" applyBorder="1" applyAlignment="1">
      <alignment horizontal="right"/>
    </xf>
    <xf numFmtId="164" fontId="9" fillId="0" borderId="27" xfId="5" applyNumberFormat="1" applyFont="1" applyBorder="1" applyAlignment="1">
      <alignment horizontal="center"/>
    </xf>
    <xf numFmtId="41" fontId="21" fillId="0" borderId="27" xfId="6" applyNumberFormat="1" applyFont="1" applyBorder="1" applyAlignment="1">
      <alignment horizontal="center"/>
    </xf>
    <xf numFmtId="41" fontId="21" fillId="0" borderId="60" xfId="6" applyNumberFormat="1" applyFont="1" applyBorder="1" applyAlignment="1">
      <alignment horizontal="center"/>
    </xf>
    <xf numFmtId="41" fontId="9" fillId="5" borderId="30" xfId="3" applyNumberFormat="1" applyFont="1" applyFill="1" applyBorder="1"/>
    <xf numFmtId="1" fontId="9" fillId="9" borderId="39" xfId="5" applyNumberFormat="1" applyFont="1" applyFill="1" applyBorder="1" applyAlignment="1">
      <alignment horizontal="right"/>
    </xf>
    <xf numFmtId="164" fontId="10" fillId="9" borderId="38" xfId="5" applyNumberFormat="1" applyFont="1" applyFill="1" applyBorder="1" applyAlignment="1">
      <alignment horizontal="right"/>
    </xf>
    <xf numFmtId="164" fontId="10" fillId="9" borderId="24" xfId="5" applyNumberFormat="1" applyFont="1" applyFill="1" applyBorder="1" applyAlignment="1">
      <alignment horizontal="left"/>
    </xf>
    <xf numFmtId="41" fontId="22" fillId="9" borderId="36" xfId="6" applyNumberFormat="1" applyFont="1" applyFill="1" applyBorder="1" applyAlignment="1">
      <alignment horizontal="center"/>
    </xf>
    <xf numFmtId="41" fontId="22" fillId="9" borderId="22" xfId="6" applyNumberFormat="1" applyFont="1" applyFill="1" applyBorder="1" applyAlignment="1">
      <alignment horizontal="center"/>
    </xf>
    <xf numFmtId="41" fontId="22" fillId="9" borderId="21" xfId="6" applyNumberFormat="1" applyFont="1" applyFill="1" applyBorder="1" applyAlignment="1">
      <alignment horizontal="center"/>
    </xf>
    <xf numFmtId="41" fontId="21" fillId="9" borderId="19" xfId="6" applyNumberFormat="1" applyFont="1" applyFill="1" applyBorder="1" applyAlignment="1">
      <alignment horizontal="center"/>
    </xf>
    <xf numFmtId="41" fontId="22" fillId="9" borderId="19" xfId="6" applyNumberFormat="1" applyFont="1" applyFill="1" applyBorder="1" applyAlignment="1">
      <alignment horizontal="center"/>
    </xf>
    <xf numFmtId="41" fontId="22" fillId="9" borderId="23" xfId="6" applyNumberFormat="1" applyFont="1" applyFill="1" applyBorder="1" applyAlignment="1">
      <alignment horizontal="center"/>
    </xf>
    <xf numFmtId="0" fontId="2" fillId="9" borderId="0" xfId="3" applyFill="1"/>
    <xf numFmtId="164" fontId="10" fillId="0" borderId="14" xfId="5" applyNumberFormat="1" applyFont="1" applyBorder="1" applyAlignment="1">
      <alignment horizontal="right"/>
    </xf>
    <xf numFmtId="0" fontId="10" fillId="0" borderId="75" xfId="3" applyFont="1" applyFill="1" applyBorder="1"/>
    <xf numFmtId="41" fontId="22" fillId="0" borderId="33" xfId="6" applyNumberFormat="1" applyFont="1" applyFill="1" applyBorder="1" applyAlignment="1">
      <alignment horizontal="center"/>
    </xf>
    <xf numFmtId="41" fontId="22" fillId="0" borderId="10" xfId="6" applyNumberFormat="1" applyFont="1" applyFill="1" applyBorder="1" applyAlignment="1">
      <alignment horizontal="center"/>
    </xf>
    <xf numFmtId="41" fontId="21" fillId="0" borderId="10" xfId="6" applyNumberFormat="1" applyFont="1" applyBorder="1" applyAlignment="1">
      <alignment horizontal="center"/>
    </xf>
    <xf numFmtId="41" fontId="22" fillId="0" borderId="10" xfId="6" applyNumberFormat="1" applyFont="1" applyBorder="1" applyAlignment="1">
      <alignment horizontal="center"/>
    </xf>
    <xf numFmtId="41" fontId="22" fillId="0" borderId="11" xfId="6" applyNumberFormat="1" applyFont="1" applyBorder="1" applyAlignment="1">
      <alignment horizontal="center"/>
    </xf>
    <xf numFmtId="164" fontId="10" fillId="0" borderId="41" xfId="5" applyNumberFormat="1" applyFont="1" applyBorder="1" applyAlignment="1">
      <alignment horizontal="right"/>
    </xf>
    <xf numFmtId="0" fontId="10" fillId="0" borderId="4" xfId="3" applyFont="1" applyFill="1" applyBorder="1"/>
    <xf numFmtId="41" fontId="22" fillId="0" borderId="48" xfId="6" applyNumberFormat="1" applyFont="1" applyFill="1" applyBorder="1" applyAlignment="1">
      <alignment horizontal="center"/>
    </xf>
    <xf numFmtId="41" fontId="21" fillId="0" borderId="52" xfId="6" applyNumberFormat="1" applyFont="1" applyFill="1" applyBorder="1" applyAlignment="1">
      <alignment horizontal="center"/>
    </xf>
    <xf numFmtId="41" fontId="21" fillId="0" borderId="47" xfId="6" applyNumberFormat="1" applyFont="1" applyFill="1" applyBorder="1" applyAlignment="1">
      <alignment horizontal="center"/>
    </xf>
    <xf numFmtId="41" fontId="21" fillId="0" borderId="46" xfId="6" applyNumberFormat="1" applyFont="1" applyBorder="1" applyAlignment="1">
      <alignment horizontal="center"/>
    </xf>
    <xf numFmtId="41" fontId="22" fillId="0" borderId="46" xfId="6" applyNumberFormat="1" applyFont="1" applyBorder="1" applyAlignment="1">
      <alignment horizontal="center"/>
    </xf>
    <xf numFmtId="41" fontId="22" fillId="0" borderId="5" xfId="6" applyNumberFormat="1" applyFont="1" applyBorder="1" applyAlignment="1">
      <alignment horizontal="center"/>
    </xf>
    <xf numFmtId="1" fontId="9" fillId="10" borderId="31" xfId="5" applyNumberFormat="1" applyFont="1" applyFill="1" applyBorder="1" applyAlignment="1">
      <alignment horizontal="right"/>
    </xf>
    <xf numFmtId="164" fontId="13" fillId="10" borderId="28" xfId="5" applyNumberFormat="1" applyFont="1" applyFill="1" applyBorder="1"/>
    <xf numFmtId="164" fontId="9" fillId="10" borderId="25" xfId="5" applyNumberFormat="1" applyFont="1" applyFill="1" applyBorder="1"/>
    <xf numFmtId="41" fontId="9" fillId="10" borderId="52" xfId="3" applyNumberFormat="1" applyFont="1" applyFill="1" applyBorder="1"/>
    <xf numFmtId="41" fontId="4" fillId="10" borderId="46" xfId="3" applyNumberFormat="1" applyFont="1" applyFill="1" applyBorder="1"/>
    <xf numFmtId="41" fontId="9" fillId="10" borderId="46" xfId="3" applyNumberFormat="1" applyFont="1" applyFill="1" applyBorder="1"/>
    <xf numFmtId="41" fontId="9" fillId="10" borderId="29" xfId="3" applyNumberFormat="1" applyFont="1" applyFill="1" applyBorder="1"/>
    <xf numFmtId="41" fontId="21" fillId="0" borderId="34" xfId="6" applyNumberFormat="1" applyFont="1" applyBorder="1" applyAlignment="1">
      <alignment horizontal="center"/>
    </xf>
    <xf numFmtId="41" fontId="21" fillId="0" borderId="41" xfId="6" applyNumberFormat="1" applyFont="1" applyBorder="1" applyAlignment="1">
      <alignment horizontal="center"/>
    </xf>
    <xf numFmtId="1" fontId="9" fillId="10" borderId="44" xfId="5" applyNumberFormat="1" applyFont="1" applyFill="1" applyBorder="1" applyAlignment="1">
      <alignment horizontal="right"/>
    </xf>
    <xf numFmtId="41" fontId="9" fillId="10" borderId="30" xfId="3" applyNumberFormat="1" applyFont="1" applyFill="1" applyBorder="1"/>
    <xf numFmtId="41" fontId="9" fillId="10" borderId="56" xfId="3" applyNumberFormat="1" applyFont="1" applyFill="1" applyBorder="1"/>
    <xf numFmtId="1" fontId="9" fillId="9" borderId="34" xfId="5" applyNumberFormat="1" applyFont="1" applyFill="1" applyBorder="1" applyAlignment="1">
      <alignment horizontal="right"/>
    </xf>
    <xf numFmtId="164" fontId="10" fillId="9" borderId="67" xfId="5" applyNumberFormat="1" applyFont="1" applyFill="1" applyBorder="1" applyAlignment="1">
      <alignment horizontal="right"/>
    </xf>
    <xf numFmtId="164" fontId="10" fillId="9" borderId="24" xfId="5" applyNumberFormat="1" applyFont="1" applyFill="1" applyBorder="1"/>
    <xf numFmtId="41" fontId="4" fillId="9" borderId="22" xfId="3" applyNumberFormat="1" applyFont="1" applyFill="1" applyBorder="1"/>
    <xf numFmtId="41" fontId="4" fillId="9" borderId="21" xfId="3" applyNumberFormat="1" applyFont="1" applyFill="1" applyBorder="1"/>
    <xf numFmtId="41" fontId="4" fillId="9" borderId="23" xfId="3" applyNumberFormat="1" applyFont="1" applyFill="1" applyBorder="1"/>
    <xf numFmtId="164" fontId="10" fillId="9" borderId="18" xfId="5" applyNumberFormat="1" applyFont="1" applyFill="1" applyBorder="1"/>
    <xf numFmtId="41" fontId="4" fillId="9" borderId="51" xfId="3" applyNumberFormat="1" applyFont="1" applyFill="1" applyBorder="1"/>
    <xf numFmtId="41" fontId="4" fillId="9" borderId="20" xfId="3" applyNumberFormat="1" applyFont="1" applyFill="1" applyBorder="1"/>
    <xf numFmtId="41" fontId="4" fillId="9" borderId="76" xfId="3" applyNumberFormat="1" applyFont="1" applyFill="1" applyBorder="1"/>
    <xf numFmtId="164" fontId="13" fillId="10" borderId="28" xfId="5" applyNumberFormat="1" applyFont="1" applyFill="1" applyBorder="1" applyAlignment="1"/>
    <xf numFmtId="41" fontId="9" fillId="10" borderId="45" xfId="3" applyNumberFormat="1" applyFont="1" applyFill="1" applyBorder="1"/>
    <xf numFmtId="41" fontId="4" fillId="10" borderId="45" xfId="3" applyNumberFormat="1" applyFont="1" applyFill="1" applyBorder="1"/>
    <xf numFmtId="1" fontId="9" fillId="0" borderId="53" xfId="5" applyNumberFormat="1" applyFont="1" applyFill="1" applyBorder="1" applyAlignment="1">
      <alignment horizontal="right"/>
    </xf>
    <xf numFmtId="164" fontId="13" fillId="0" borderId="26" xfId="5" applyNumberFormat="1" applyFont="1" applyFill="1" applyBorder="1" applyAlignment="1"/>
    <xf numFmtId="164" fontId="9" fillId="0" borderId="26" xfId="5" applyNumberFormat="1" applyFont="1" applyFill="1" applyBorder="1"/>
    <xf numFmtId="41" fontId="9" fillId="0" borderId="30" xfId="3" applyNumberFormat="1" applyFont="1" applyFill="1" applyBorder="1"/>
    <xf numFmtId="41" fontId="4" fillId="0" borderId="45" xfId="3" applyNumberFormat="1" applyFont="1" applyFill="1" applyBorder="1"/>
    <xf numFmtId="41" fontId="9" fillId="0" borderId="45" xfId="3" applyNumberFormat="1" applyFont="1" applyFill="1" applyBorder="1"/>
    <xf numFmtId="41" fontId="9" fillId="0" borderId="56" xfId="3" applyNumberFormat="1" applyFont="1" applyFill="1" applyBorder="1"/>
    <xf numFmtId="1" fontId="9" fillId="0" borderId="31" xfId="5" applyNumberFormat="1" applyFont="1" applyFill="1" applyBorder="1" applyAlignment="1">
      <alignment horizontal="right"/>
    </xf>
    <xf numFmtId="164" fontId="10" fillId="0" borderId="26" xfId="5" applyNumberFormat="1" applyFont="1" applyFill="1" applyBorder="1" applyAlignment="1">
      <alignment horizontal="right"/>
    </xf>
    <xf numFmtId="164" fontId="10" fillId="0" borderId="26" xfId="5" applyNumberFormat="1" applyFont="1" applyFill="1" applyBorder="1"/>
    <xf numFmtId="41" fontId="4" fillId="0" borderId="52" xfId="3" applyNumberFormat="1" applyFont="1" applyFill="1" applyBorder="1"/>
    <xf numFmtId="41" fontId="4" fillId="0" borderId="47" xfId="3" applyNumberFormat="1" applyFont="1" applyFill="1" applyBorder="1"/>
    <xf numFmtId="41" fontId="4" fillId="0" borderId="29" xfId="3" applyNumberFormat="1" applyFont="1" applyFill="1" applyBorder="1"/>
    <xf numFmtId="164" fontId="9" fillId="5" borderId="44" xfId="5" applyNumberFormat="1" applyFont="1" applyFill="1" applyBorder="1"/>
    <xf numFmtId="164" fontId="23" fillId="5" borderId="60" xfId="5" applyNumberFormat="1" applyFont="1" applyFill="1" applyBorder="1"/>
    <xf numFmtId="164" fontId="9" fillId="5" borderId="53" xfId="5" applyNumberFormat="1" applyFont="1" applyFill="1" applyBorder="1"/>
    <xf numFmtId="164" fontId="9" fillId="5" borderId="60" xfId="5" applyNumberFormat="1" applyFont="1" applyFill="1" applyBorder="1"/>
    <xf numFmtId="1" fontId="9" fillId="0" borderId="34" xfId="5" applyNumberFormat="1" applyFont="1" applyFill="1" applyBorder="1" applyAlignment="1">
      <alignment horizontal="right"/>
    </xf>
    <xf numFmtId="164" fontId="9" fillId="0" borderId="0" xfId="5" applyNumberFormat="1" applyFont="1" applyFill="1" applyBorder="1"/>
    <xf numFmtId="41" fontId="4" fillId="0" borderId="0" xfId="3" applyNumberFormat="1" applyFont="1" applyFill="1" applyBorder="1"/>
    <xf numFmtId="41" fontId="4" fillId="0" borderId="14" xfId="3" applyNumberFormat="1" applyFont="1" applyFill="1" applyBorder="1"/>
    <xf numFmtId="41" fontId="4" fillId="5" borderId="45" xfId="3" applyNumberFormat="1" applyFont="1" applyFill="1" applyBorder="1"/>
    <xf numFmtId="1" fontId="9" fillId="0" borderId="39" xfId="5" applyNumberFormat="1" applyFont="1" applyFill="1" applyBorder="1" applyAlignment="1">
      <alignment horizontal="right"/>
    </xf>
    <xf numFmtId="164" fontId="9" fillId="0" borderId="38" xfId="5" applyNumberFormat="1" applyFont="1" applyFill="1" applyBorder="1"/>
    <xf numFmtId="164" fontId="8" fillId="11" borderId="53" xfId="5" applyNumberFormat="1" applyFont="1" applyFill="1" applyBorder="1" applyAlignment="1">
      <alignment horizontal="right"/>
    </xf>
    <xf numFmtId="41" fontId="8" fillId="11" borderId="53" xfId="3" applyNumberFormat="1" applyFont="1" applyFill="1" applyBorder="1"/>
    <xf numFmtId="41" fontId="8" fillId="11" borderId="26" xfId="3" applyNumberFormat="1" applyFont="1" applyFill="1" applyBorder="1"/>
    <xf numFmtId="41" fontId="8" fillId="11" borderId="60" xfId="3" applyNumberFormat="1" applyFont="1" applyFill="1" applyBorder="1"/>
    <xf numFmtId="164" fontId="9" fillId="0" borderId="34" xfId="5" applyNumberFormat="1" applyFont="1" applyFill="1" applyBorder="1" applyAlignment="1">
      <alignment horizontal="right"/>
    </xf>
    <xf numFmtId="0" fontId="4" fillId="0" borderId="0" xfId="3" applyFont="1"/>
    <xf numFmtId="41" fontId="4" fillId="0" borderId="0" xfId="3" applyNumberFormat="1" applyFont="1"/>
    <xf numFmtId="164" fontId="9" fillId="6" borderId="53" xfId="5" applyNumberFormat="1" applyFont="1" applyFill="1" applyBorder="1" applyAlignment="1">
      <alignment horizontal="left"/>
    </xf>
    <xf numFmtId="0" fontId="4" fillId="6" borderId="26" xfId="3" applyFont="1" applyFill="1" applyBorder="1"/>
    <xf numFmtId="164" fontId="9" fillId="6" borderId="25" xfId="5" applyNumberFormat="1" applyFont="1" applyFill="1" applyBorder="1"/>
    <xf numFmtId="41" fontId="4" fillId="6" borderId="30" xfId="3" applyNumberFormat="1" applyFont="1" applyFill="1" applyBorder="1"/>
    <xf numFmtId="41" fontId="9" fillId="6" borderId="30" xfId="3" applyNumberFormat="1" applyFont="1" applyFill="1" applyBorder="1"/>
    <xf numFmtId="41" fontId="9" fillId="6" borderId="56" xfId="3" applyNumberFormat="1" applyFont="1" applyFill="1" applyBorder="1"/>
    <xf numFmtId="164" fontId="9" fillId="9" borderId="34" xfId="5" applyNumberFormat="1" applyFont="1" applyFill="1" applyBorder="1" applyAlignment="1">
      <alignment horizontal="right"/>
    </xf>
    <xf numFmtId="0" fontId="4" fillId="9" borderId="14" xfId="3" applyFont="1" applyFill="1" applyBorder="1" applyAlignment="1">
      <alignment horizontal="right"/>
    </xf>
    <xf numFmtId="0" fontId="4" fillId="9" borderId="7" xfId="3" applyFont="1" applyFill="1" applyBorder="1" applyAlignment="1">
      <alignment horizontal="left" vertical="center"/>
    </xf>
    <xf numFmtId="41" fontId="4" fillId="9" borderId="59" xfId="3" applyNumberFormat="1" applyFont="1" applyFill="1" applyBorder="1"/>
    <xf numFmtId="41" fontId="4" fillId="9" borderId="9" xfId="3" applyNumberFormat="1" applyFont="1" applyFill="1" applyBorder="1"/>
    <xf numFmtId="41" fontId="4" fillId="9" borderId="77" xfId="3" applyNumberFormat="1" applyFont="1" applyFill="1" applyBorder="1"/>
    <xf numFmtId="164" fontId="4" fillId="9" borderId="17" xfId="5" applyNumberFormat="1" applyFont="1" applyFill="1" applyBorder="1" applyAlignment="1">
      <alignment horizontal="left" vertical="center"/>
    </xf>
    <xf numFmtId="41" fontId="4" fillId="9" borderId="16" xfId="3" applyNumberFormat="1" applyFont="1" applyFill="1" applyBorder="1"/>
    <xf numFmtId="41" fontId="4" fillId="9" borderId="10" xfId="3" applyNumberFormat="1" applyFont="1" applyFill="1" applyBorder="1"/>
    <xf numFmtId="41" fontId="4" fillId="9" borderId="11" xfId="3" applyNumberFormat="1" applyFont="1" applyFill="1" applyBorder="1"/>
    <xf numFmtId="0" fontId="4" fillId="0" borderId="14" xfId="3" applyFont="1" applyFill="1" applyBorder="1" applyAlignment="1">
      <alignment horizontal="right"/>
    </xf>
    <xf numFmtId="164" fontId="4" fillId="0" borderId="6" xfId="5" applyNumberFormat="1" applyFont="1" applyFill="1" applyBorder="1" applyAlignment="1">
      <alignment horizontal="left" vertical="center"/>
    </xf>
    <xf numFmtId="41" fontId="4" fillId="0" borderId="4" xfId="3" applyNumberFormat="1" applyFont="1" applyFill="1" applyBorder="1"/>
    <xf numFmtId="41" fontId="4" fillId="0" borderId="3" xfId="3" applyNumberFormat="1" applyFont="1" applyFill="1" applyBorder="1"/>
    <xf numFmtId="41" fontId="4" fillId="0" borderId="5" xfId="3" applyNumberFormat="1" applyFont="1" applyFill="1" applyBorder="1"/>
    <xf numFmtId="1" fontId="9" fillId="12" borderId="44" xfId="5" applyNumberFormat="1" applyFont="1" applyFill="1" applyBorder="1" applyAlignment="1">
      <alignment horizontal="right"/>
    </xf>
    <xf numFmtId="164" fontId="9" fillId="12" borderId="28" xfId="5" applyNumberFormat="1" applyFont="1" applyFill="1" applyBorder="1"/>
    <xf numFmtId="164" fontId="9" fillId="12" borderId="25" xfId="5" applyNumberFormat="1" applyFont="1" applyFill="1" applyBorder="1"/>
    <xf numFmtId="41" fontId="9" fillId="12" borderId="30" xfId="3" applyNumberFormat="1" applyFont="1" applyFill="1" applyBorder="1"/>
    <xf numFmtId="41" fontId="4" fillId="12" borderId="30" xfId="3" applyNumberFormat="1" applyFont="1" applyFill="1" applyBorder="1"/>
    <xf numFmtId="41" fontId="4" fillId="12" borderId="28" xfId="3" applyNumberFormat="1" applyFont="1" applyFill="1" applyBorder="1"/>
    <xf numFmtId="41" fontId="9" fillId="12" borderId="28" xfId="3" applyNumberFormat="1" applyFont="1" applyFill="1" applyBorder="1"/>
    <xf numFmtId="41" fontId="9" fillId="12" borderId="56" xfId="3" applyNumberFormat="1" applyFont="1" applyFill="1" applyBorder="1"/>
    <xf numFmtId="1" fontId="9" fillId="4" borderId="44" xfId="3" applyNumberFormat="1" applyFont="1" applyFill="1" applyBorder="1" applyAlignment="1">
      <alignment horizontal="right"/>
    </xf>
    <xf numFmtId="0" fontId="9" fillId="4" borderId="28" xfId="3" applyFont="1" applyFill="1" applyBorder="1"/>
    <xf numFmtId="0" fontId="4" fillId="4" borderId="25" xfId="3" applyFont="1" applyFill="1" applyBorder="1"/>
    <xf numFmtId="41" fontId="9" fillId="4" borderId="53" xfId="3" applyNumberFormat="1" applyFont="1" applyFill="1" applyBorder="1"/>
    <xf numFmtId="41" fontId="4" fillId="12" borderId="45" xfId="3" applyNumberFormat="1" applyFont="1" applyFill="1" applyBorder="1"/>
    <xf numFmtId="41" fontId="9" fillId="4" borderId="30" xfId="3" applyNumberFormat="1" applyFont="1" applyFill="1" applyBorder="1"/>
    <xf numFmtId="41" fontId="9" fillId="4" borderId="45" xfId="3" applyNumberFormat="1" applyFont="1" applyFill="1" applyBorder="1"/>
    <xf numFmtId="41" fontId="9" fillId="4" borderId="56" xfId="3" applyNumberFormat="1" applyFont="1" applyFill="1" applyBorder="1"/>
    <xf numFmtId="1" fontId="9" fillId="4" borderId="44" xfId="5" applyNumberFormat="1" applyFont="1" applyFill="1" applyBorder="1" applyAlignment="1">
      <alignment horizontal="right"/>
    </xf>
    <xf numFmtId="164" fontId="9" fillId="4" borderId="25" xfId="5" applyNumberFormat="1" applyFont="1" applyFill="1" applyBorder="1"/>
    <xf numFmtId="41" fontId="9" fillId="4" borderId="60" xfId="3" applyNumberFormat="1" applyFont="1" applyFill="1" applyBorder="1"/>
    <xf numFmtId="164" fontId="4" fillId="0" borderId="38" xfId="5" applyNumberFormat="1" applyFont="1" applyFill="1" applyBorder="1" applyAlignment="1">
      <alignment horizontal="right"/>
    </xf>
    <xf numFmtId="164" fontId="4" fillId="0" borderId="17" xfId="5" applyNumberFormat="1" applyFont="1" applyBorder="1"/>
    <xf numFmtId="41" fontId="4" fillId="0" borderId="22" xfId="3" applyNumberFormat="1" applyFont="1" applyFill="1" applyBorder="1"/>
    <xf numFmtId="41" fontId="4" fillId="0" borderId="21" xfId="3" applyNumberFormat="1" applyFont="1" applyFill="1" applyBorder="1"/>
    <xf numFmtId="41" fontId="4" fillId="0" borderId="19" xfId="3" applyNumberFormat="1" applyFont="1" applyFill="1" applyBorder="1"/>
    <xf numFmtId="41" fontId="4" fillId="0" borderId="23" xfId="3" applyNumberFormat="1" applyFont="1" applyFill="1" applyBorder="1"/>
    <xf numFmtId="1" fontId="4" fillId="0" borderId="34" xfId="5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64" fontId="4" fillId="0" borderId="7" xfId="5" applyNumberFormat="1" applyFont="1" applyFill="1" applyBorder="1"/>
    <xf numFmtId="41" fontId="4" fillId="0" borderId="49" xfId="3" applyNumberFormat="1" applyFont="1" applyFill="1" applyBorder="1"/>
    <xf numFmtId="41" fontId="4" fillId="0" borderId="9" xfId="3" applyNumberFormat="1" applyFont="1" applyFill="1" applyBorder="1"/>
    <xf numFmtId="41" fontId="4" fillId="0" borderId="58" xfId="3" applyNumberFormat="1" applyFont="1" applyFill="1" applyBorder="1"/>
    <xf numFmtId="41" fontId="4" fillId="0" borderId="11" xfId="3" applyNumberFormat="1" applyFont="1" applyFill="1" applyBorder="1"/>
    <xf numFmtId="41" fontId="4" fillId="0" borderId="16" xfId="3" applyNumberFormat="1" applyFont="1" applyFill="1" applyBorder="1"/>
    <xf numFmtId="41" fontId="4" fillId="0" borderId="10" xfId="3" applyNumberFormat="1" applyFont="1" applyFill="1" applyBorder="1"/>
    <xf numFmtId="1" fontId="4" fillId="0" borderId="31" xfId="5" applyNumberFormat="1" applyFont="1" applyFill="1" applyBorder="1" applyAlignment="1">
      <alignment horizontal="right"/>
    </xf>
    <xf numFmtId="164" fontId="4" fillId="0" borderId="27" xfId="5" applyNumberFormat="1" applyFont="1" applyFill="1" applyBorder="1" applyAlignment="1">
      <alignment horizontal="right"/>
    </xf>
    <xf numFmtId="164" fontId="4" fillId="0" borderId="6" xfId="5" applyNumberFormat="1" applyFont="1" applyBorder="1"/>
    <xf numFmtId="41" fontId="4" fillId="0" borderId="46" xfId="3" applyNumberFormat="1" applyFont="1" applyFill="1" applyBorder="1"/>
    <xf numFmtId="41" fontId="4" fillId="0" borderId="53" xfId="3" applyNumberFormat="1" applyFont="1" applyFill="1" applyBorder="1"/>
    <xf numFmtId="41" fontId="4" fillId="0" borderId="26" xfId="3" applyNumberFormat="1" applyFont="1" applyFill="1" applyBorder="1"/>
    <xf numFmtId="41" fontId="4" fillId="0" borderId="60" xfId="3" applyNumberFormat="1" applyFont="1" applyFill="1" applyBorder="1"/>
    <xf numFmtId="1" fontId="9" fillId="4" borderId="48" xfId="5" applyNumberFormat="1" applyFont="1" applyFill="1" applyBorder="1" applyAlignment="1">
      <alignment horizontal="right"/>
    </xf>
    <xf numFmtId="164" fontId="9" fillId="4" borderId="28" xfId="5" applyNumberFormat="1" applyFont="1" applyFill="1" applyBorder="1"/>
    <xf numFmtId="41" fontId="9" fillId="4" borderId="52" xfId="3" applyNumberFormat="1" applyFont="1" applyFill="1" applyBorder="1"/>
    <xf numFmtId="41" fontId="9" fillId="4" borderId="41" xfId="3" applyNumberFormat="1" applyFont="1" applyFill="1" applyBorder="1"/>
    <xf numFmtId="164" fontId="4" fillId="0" borderId="24" xfId="5" applyNumberFormat="1" applyFont="1" applyFill="1" applyBorder="1"/>
    <xf numFmtId="41" fontId="4" fillId="0" borderId="76" xfId="3" applyNumberFormat="1" applyFont="1" applyFill="1" applyBorder="1"/>
    <xf numFmtId="41" fontId="2" fillId="0" borderId="0" xfId="3" applyNumberFormat="1" applyFill="1"/>
    <xf numFmtId="164" fontId="4" fillId="0" borderId="1" xfId="5" applyNumberFormat="1" applyFont="1" applyFill="1" applyBorder="1"/>
    <xf numFmtId="164" fontId="4" fillId="0" borderId="26" xfId="5" applyNumberFormat="1" applyFont="1" applyFill="1" applyBorder="1" applyAlignment="1">
      <alignment horizontal="right"/>
    </xf>
    <xf numFmtId="164" fontId="4" fillId="0" borderId="26" xfId="5" applyNumberFormat="1" applyFont="1" applyFill="1" applyBorder="1"/>
    <xf numFmtId="41" fontId="4" fillId="0" borderId="30" xfId="3" applyNumberFormat="1" applyFont="1" applyFill="1" applyBorder="1"/>
    <xf numFmtId="41" fontId="4" fillId="0" borderId="28" xfId="3" applyNumberFormat="1" applyFont="1" applyFill="1" applyBorder="1"/>
    <xf numFmtId="41" fontId="4" fillId="0" borderId="56" xfId="3" applyNumberFormat="1" applyFont="1" applyFill="1" applyBorder="1"/>
    <xf numFmtId="164" fontId="9" fillId="12" borderId="45" xfId="5" applyNumberFormat="1" applyFont="1" applyFill="1" applyBorder="1" applyAlignment="1">
      <alignment horizontal="left"/>
    </xf>
    <xf numFmtId="164" fontId="4" fillId="12" borderId="45" xfId="5" applyNumberFormat="1" applyFont="1" applyFill="1" applyBorder="1"/>
    <xf numFmtId="41" fontId="9" fillId="12" borderId="45" xfId="3" applyNumberFormat="1" applyFont="1" applyFill="1" applyBorder="1"/>
    <xf numFmtId="164" fontId="4" fillId="0" borderId="27" xfId="5" applyNumberFormat="1" applyFont="1" applyFill="1" applyBorder="1"/>
    <xf numFmtId="41" fontId="9" fillId="4" borderId="28" xfId="3" applyNumberFormat="1" applyFont="1" applyFill="1" applyBorder="1"/>
    <xf numFmtId="164" fontId="9" fillId="0" borderId="27" xfId="5" applyNumberFormat="1" applyFont="1" applyFill="1" applyBorder="1"/>
    <xf numFmtId="0" fontId="4" fillId="0" borderId="0" xfId="3" applyFont="1" applyBorder="1"/>
    <xf numFmtId="41" fontId="4" fillId="0" borderId="27" xfId="3" applyNumberFormat="1" applyFont="1" applyFill="1" applyBorder="1"/>
    <xf numFmtId="41" fontId="4" fillId="0" borderId="41" xfId="3" applyNumberFormat="1" applyFont="1" applyFill="1" applyBorder="1"/>
    <xf numFmtId="1" fontId="4" fillId="0" borderId="34" xfId="3" applyNumberFormat="1" applyFont="1" applyBorder="1" applyAlignment="1">
      <alignment horizontal="right"/>
    </xf>
    <xf numFmtId="164" fontId="8" fillId="13" borderId="53" xfId="5" applyNumberFormat="1" applyFont="1" applyFill="1" applyBorder="1" applyAlignment="1">
      <alignment horizontal="right"/>
    </xf>
    <xf numFmtId="41" fontId="8" fillId="13" borderId="26" xfId="3" applyNumberFormat="1" applyFont="1" applyFill="1" applyBorder="1"/>
    <xf numFmtId="164" fontId="9" fillId="0" borderId="31" xfId="5" applyNumberFormat="1" applyFont="1" applyFill="1" applyBorder="1" applyAlignment="1">
      <alignment horizontal="right"/>
    </xf>
    <xf numFmtId="164" fontId="9" fillId="0" borderId="27" xfId="5" applyNumberFormat="1" applyFont="1" applyFill="1" applyBorder="1" applyAlignment="1">
      <alignment horizontal="left"/>
    </xf>
    <xf numFmtId="164" fontId="9" fillId="0" borderId="36" xfId="5" applyNumberFormat="1" applyFont="1" applyBorder="1" applyAlignment="1">
      <alignment horizontal="right"/>
    </xf>
    <xf numFmtId="41" fontId="4" fillId="0" borderId="36" xfId="3" applyNumberFormat="1" applyFont="1" applyBorder="1"/>
    <xf numFmtId="41" fontId="4" fillId="0" borderId="22" xfId="3" applyNumberFormat="1" applyFont="1" applyBorder="1"/>
    <xf numFmtId="41" fontId="4" fillId="0" borderId="23" xfId="3" applyNumberFormat="1" applyFont="1" applyBorder="1"/>
    <xf numFmtId="41" fontId="4" fillId="0" borderId="16" xfId="3" applyNumberFormat="1" applyFont="1" applyBorder="1"/>
    <xf numFmtId="41" fontId="4" fillId="0" borderId="58" xfId="3" applyNumberFormat="1" applyFont="1" applyBorder="1"/>
    <xf numFmtId="41" fontId="4" fillId="0" borderId="11" xfId="3" applyNumberFormat="1" applyFont="1" applyBorder="1"/>
    <xf numFmtId="41" fontId="4" fillId="0" borderId="10" xfId="3" applyNumberFormat="1" applyFont="1" applyBorder="1"/>
    <xf numFmtId="164" fontId="9" fillId="0" borderId="55" xfId="5" applyNumberFormat="1" applyFont="1" applyBorder="1" applyAlignment="1">
      <alignment horizontal="right"/>
    </xf>
    <xf numFmtId="164" fontId="9" fillId="0" borderId="40" xfId="5" applyNumberFormat="1" applyFont="1" applyBorder="1" applyAlignment="1">
      <alignment horizontal="right"/>
    </xf>
    <xf numFmtId="41" fontId="9" fillId="0" borderId="4" xfId="3" applyNumberFormat="1" applyFont="1" applyBorder="1"/>
    <xf numFmtId="41" fontId="9" fillId="0" borderId="78" xfId="3" applyNumberFormat="1" applyFont="1" applyBorder="1"/>
    <xf numFmtId="41" fontId="4" fillId="0" borderId="26" xfId="3" applyNumberFormat="1" applyFont="1" applyBorder="1"/>
    <xf numFmtId="41" fontId="4" fillId="0" borderId="38" xfId="3" applyNumberFormat="1" applyFont="1" applyBorder="1"/>
    <xf numFmtId="0" fontId="4" fillId="0" borderId="79" xfId="3" applyFont="1" applyBorder="1"/>
    <xf numFmtId="0" fontId="9" fillId="14" borderId="27" xfId="7" applyFont="1" applyFill="1" applyBorder="1"/>
    <xf numFmtId="0" fontId="4" fillId="14" borderId="36" xfId="7" applyFont="1" applyFill="1" applyBorder="1"/>
    <xf numFmtId="41" fontId="4" fillId="14" borderId="36" xfId="3" applyNumberFormat="1" applyFont="1" applyFill="1" applyBorder="1"/>
    <xf numFmtId="41" fontId="4" fillId="14" borderId="22" xfId="3" applyNumberFormat="1" applyFont="1" applyFill="1" applyBorder="1"/>
    <xf numFmtId="41" fontId="4" fillId="14" borderId="21" xfId="3" applyNumberFormat="1" applyFont="1" applyFill="1" applyBorder="1"/>
    <xf numFmtId="41" fontId="4" fillId="14" borderId="35" xfId="3" applyNumberFormat="1" applyFont="1" applyFill="1" applyBorder="1"/>
    <xf numFmtId="41" fontId="4" fillId="14" borderId="76" xfId="3" applyNumberFormat="1" applyFont="1" applyFill="1" applyBorder="1"/>
    <xf numFmtId="0" fontId="9" fillId="0" borderId="0" xfId="7" applyFont="1" applyBorder="1"/>
    <xf numFmtId="0" fontId="4" fillId="14" borderId="59" xfId="7" applyFont="1" applyFill="1" applyBorder="1"/>
    <xf numFmtId="41" fontId="4" fillId="14" borderId="33" xfId="3" applyNumberFormat="1" applyFont="1" applyFill="1" applyBorder="1"/>
    <xf numFmtId="41" fontId="4" fillId="14" borderId="10" xfId="3" applyNumberFormat="1" applyFont="1" applyFill="1" applyBorder="1"/>
    <xf numFmtId="41" fontId="4" fillId="14" borderId="11" xfId="3" applyNumberFormat="1" applyFont="1" applyFill="1" applyBorder="1"/>
    <xf numFmtId="0" fontId="4" fillId="0" borderId="0" xfId="7" applyFont="1" applyBorder="1"/>
    <xf numFmtId="0" fontId="4" fillId="14" borderId="33" xfId="7" applyFont="1" applyFill="1" applyBorder="1"/>
    <xf numFmtId="0" fontId="4" fillId="14" borderId="55" xfId="7" applyFont="1" applyFill="1" applyBorder="1"/>
    <xf numFmtId="0" fontId="9" fillId="14" borderId="40" xfId="7" applyFont="1" applyFill="1" applyBorder="1"/>
    <xf numFmtId="41" fontId="9" fillId="14" borderId="48" xfId="3" applyNumberFormat="1" applyFont="1" applyFill="1" applyBorder="1"/>
    <xf numFmtId="41" fontId="9" fillId="14" borderId="47" xfId="3" applyNumberFormat="1" applyFont="1" applyFill="1" applyBorder="1"/>
    <xf numFmtId="41" fontId="9" fillId="14" borderId="29" xfId="3" applyNumberFormat="1" applyFont="1" applyFill="1" applyBorder="1"/>
    <xf numFmtId="10" fontId="0" fillId="0" borderId="0" xfId="4" applyNumberFormat="1" applyFont="1"/>
    <xf numFmtId="0" fontId="4" fillId="15" borderId="44" xfId="7" applyFont="1" applyFill="1" applyBorder="1"/>
    <xf numFmtId="41" fontId="4" fillId="15" borderId="44" xfId="3" applyNumberFormat="1" applyFont="1" applyFill="1" applyBorder="1"/>
    <xf numFmtId="41" fontId="4" fillId="15" borderId="45" xfId="3" applyNumberFormat="1" applyFont="1" applyFill="1" applyBorder="1"/>
    <xf numFmtId="41" fontId="4" fillId="15" borderId="56" xfId="3" applyNumberFormat="1" applyFont="1" applyFill="1" applyBorder="1"/>
    <xf numFmtId="0" fontId="4" fillId="16" borderId="0" xfId="3" applyFont="1" applyFill="1" applyAlignment="1">
      <alignment horizontal="right"/>
    </xf>
    <xf numFmtId="41" fontId="4" fillId="16" borderId="0" xfId="3" applyNumberFormat="1" applyFont="1" applyFill="1"/>
    <xf numFmtId="41" fontId="4" fillId="0" borderId="70" xfId="3" applyNumberFormat="1" applyFont="1" applyBorder="1"/>
    <xf numFmtId="10" fontId="4" fillId="17" borderId="73" xfId="4" applyNumberFormat="1" applyFont="1" applyFill="1" applyBorder="1"/>
    <xf numFmtId="10" fontId="4" fillId="17" borderId="80" xfId="4" applyNumberFormat="1" applyFont="1" applyFill="1" applyBorder="1"/>
    <xf numFmtId="41" fontId="4" fillId="17" borderId="80" xfId="3" applyNumberFormat="1" applyFont="1" applyFill="1" applyBorder="1"/>
    <xf numFmtId="41" fontId="4" fillId="17" borderId="0" xfId="3" applyNumberFormat="1" applyFont="1" applyFill="1" applyBorder="1"/>
    <xf numFmtId="41" fontId="4" fillId="0" borderId="32" xfId="3" applyNumberFormat="1" applyFont="1" applyBorder="1"/>
    <xf numFmtId="10" fontId="4" fillId="17" borderId="58" xfId="4" applyNumberFormat="1" applyFont="1" applyFill="1" applyBorder="1" applyAlignment="1">
      <alignment horizontal="right"/>
    </xf>
    <xf numFmtId="41" fontId="4" fillId="17" borderId="70" xfId="3" applyNumberFormat="1" applyFont="1" applyFill="1" applyBorder="1" applyAlignment="1">
      <alignment horizontal="right"/>
    </xf>
    <xf numFmtId="10" fontId="4" fillId="17" borderId="70" xfId="4" applyNumberFormat="1" applyFont="1" applyFill="1" applyBorder="1"/>
    <xf numFmtId="41" fontId="4" fillId="17" borderId="49" xfId="3" applyNumberFormat="1" applyFont="1" applyFill="1" applyBorder="1"/>
    <xf numFmtId="41" fontId="4" fillId="0" borderId="73" xfId="3" applyNumberFormat="1" applyFont="1" applyBorder="1"/>
    <xf numFmtId="9" fontId="4" fillId="0" borderId="0" xfId="4" applyFont="1"/>
    <xf numFmtId="43" fontId="4" fillId="0" borderId="0" xfId="1" applyFont="1"/>
    <xf numFmtId="0" fontId="10" fillId="0" borderId="58" xfId="3" applyFont="1" applyFill="1" applyBorder="1"/>
    <xf numFmtId="49" fontId="15" fillId="0" borderId="0" xfId="5" applyNumberFormat="1" applyFont="1" applyFill="1" applyBorder="1" applyAlignment="1">
      <alignment horizontal="left" vertical="center"/>
    </xf>
    <xf numFmtId="164" fontId="2" fillId="0" borderId="13" xfId="5" applyNumberFormat="1" applyFont="1" applyFill="1" applyBorder="1"/>
    <xf numFmtId="164" fontId="10" fillId="0" borderId="29" xfId="5" applyNumberFormat="1" applyFont="1" applyFill="1" applyBorder="1" applyAlignment="1">
      <alignment horizontal="left" vertical="center"/>
    </xf>
    <xf numFmtId="41" fontId="2" fillId="0" borderId="34" xfId="5" applyNumberFormat="1" applyFont="1" applyFill="1" applyBorder="1"/>
    <xf numFmtId="41" fontId="2" fillId="0" borderId="57" xfId="5" applyNumberFormat="1" applyFont="1" applyFill="1" applyBorder="1"/>
    <xf numFmtId="41" fontId="2" fillId="9" borderId="10" xfId="5" applyNumberFormat="1" applyFont="1" applyFill="1" applyBorder="1" applyProtection="1">
      <protection locked="0"/>
    </xf>
    <xf numFmtId="41" fontId="2" fillId="9" borderId="33" xfId="5" applyNumberFormat="1" applyFont="1" applyFill="1" applyBorder="1" applyProtection="1">
      <protection locked="0"/>
    </xf>
    <xf numFmtId="41" fontId="2" fillId="9" borderId="3" xfId="5" applyNumberFormat="1" applyFont="1" applyFill="1" applyBorder="1" applyProtection="1">
      <protection locked="0"/>
    </xf>
    <xf numFmtId="41" fontId="2" fillId="9" borderId="40" xfId="5" applyNumberFormat="1" applyFont="1" applyFill="1" applyBorder="1" applyProtection="1">
      <protection locked="0"/>
    </xf>
    <xf numFmtId="164" fontId="18" fillId="8" borderId="53" xfId="5" applyNumberFormat="1" applyFont="1" applyFill="1" applyBorder="1" applyAlignment="1">
      <alignment horizontal="center"/>
    </xf>
    <xf numFmtId="164" fontId="18" fillId="8" borderId="26" xfId="5" applyNumberFormat="1" applyFont="1" applyFill="1" applyBorder="1" applyAlignment="1">
      <alignment horizontal="center"/>
    </xf>
    <xf numFmtId="164" fontId="18" fillId="8" borderId="60" xfId="5" applyNumberFormat="1" applyFont="1" applyFill="1" applyBorder="1" applyAlignment="1">
      <alignment horizontal="center"/>
    </xf>
    <xf numFmtId="41" fontId="6" fillId="0" borderId="26" xfId="5" applyNumberFormat="1" applyFont="1" applyFill="1" applyBorder="1" applyAlignment="1">
      <alignment horizontal="center"/>
    </xf>
    <xf numFmtId="41" fontId="2" fillId="0" borderId="26" xfId="3" applyNumberFormat="1" applyBorder="1" applyAlignment="1">
      <alignment horizontal="center"/>
    </xf>
    <xf numFmtId="41" fontId="6" fillId="0" borderId="53" xfId="3" applyNumberFormat="1" applyFont="1" applyBorder="1" applyAlignment="1">
      <alignment horizontal="center" wrapText="1"/>
    </xf>
    <xf numFmtId="41" fontId="6" fillId="0" borderId="30" xfId="3" applyNumberFormat="1" applyFont="1" applyBorder="1" applyAlignment="1">
      <alignment horizontal="center" wrapText="1"/>
    </xf>
    <xf numFmtId="41" fontId="9" fillId="0" borderId="39" xfId="3" applyNumberFormat="1" applyFont="1" applyBorder="1" applyAlignment="1">
      <alignment horizontal="center"/>
    </xf>
    <xf numFmtId="41" fontId="9" fillId="0" borderId="38" xfId="3" applyNumberFormat="1" applyFont="1" applyBorder="1" applyAlignment="1">
      <alignment horizontal="center"/>
    </xf>
    <xf numFmtId="41" fontId="4" fillId="0" borderId="67" xfId="3" applyNumberFormat="1" applyFont="1" applyBorder="1" applyAlignment="1"/>
    <xf numFmtId="41" fontId="4" fillId="0" borderId="69" xfId="3" applyNumberFormat="1" applyFont="1" applyBorder="1" applyAlignment="1"/>
    <xf numFmtId="41" fontId="4" fillId="0" borderId="70" xfId="3" applyNumberFormat="1" applyFont="1" applyBorder="1" applyAlignment="1"/>
    <xf numFmtId="41" fontId="4" fillId="0" borderId="71" xfId="3" applyNumberFormat="1" applyFont="1" applyBorder="1" applyAlignment="1"/>
    <xf numFmtId="0" fontId="4" fillId="0" borderId="26" xfId="3" applyFont="1" applyFill="1" applyBorder="1" applyAlignment="1"/>
    <xf numFmtId="0" fontId="4" fillId="0" borderId="26" xfId="3" applyFont="1" applyBorder="1" applyAlignment="1"/>
    <xf numFmtId="0" fontId="4" fillId="0" borderId="38" xfId="3" applyFont="1" applyBorder="1" applyAlignment="1"/>
  </cellXfs>
  <cellStyles count="8">
    <cellStyle name="Comma" xfId="1" builtinId="3"/>
    <cellStyle name="Comma 2 3" xfId="5"/>
    <cellStyle name="Currency 2 3" xfId="6"/>
    <cellStyle name="Normal" xfId="0" builtinId="0"/>
    <cellStyle name="Normal 2" xfId="3"/>
    <cellStyle name="Normal_2003 Award budget scenarios1" xfId="7"/>
    <cellStyle name="Percent" xfId="2" builtinId="5"/>
    <cellStyle name="Percent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Normal="100" zoomScaleSheetLayoutView="120" zoomScalePageLayoutView="75" workbookViewId="0">
      <pane ySplit="3" topLeftCell="A4" activePane="bottomLeft" state="frozen"/>
      <selection pane="bottomLeft" activeCell="I32" sqref="I32"/>
    </sheetView>
  </sheetViews>
  <sheetFormatPr defaultColWidth="8.85546875" defaultRowHeight="12.75"/>
  <cols>
    <col min="1" max="1" width="8.140625" style="1" customWidth="1"/>
    <col min="2" max="2" width="9.140625" style="1" customWidth="1"/>
    <col min="3" max="3" width="37.42578125" style="1" customWidth="1"/>
    <col min="4" max="4" width="14.7109375" style="3" customWidth="1"/>
    <col min="5" max="5" width="13.28515625" style="3" customWidth="1"/>
    <col min="6" max="6" width="14.85546875" style="3" customWidth="1"/>
    <col min="7" max="7" width="12.7109375" style="3" customWidth="1"/>
    <col min="8" max="8" width="12" style="3" customWidth="1"/>
    <col min="9" max="9" width="11" style="2" customWidth="1"/>
    <col min="10" max="10" width="13.28515625" style="1" customWidth="1"/>
    <col min="11" max="11" width="10.7109375" style="1" bestFit="1" customWidth="1"/>
    <col min="12" max="16384" width="8.85546875" style="1"/>
  </cols>
  <sheetData>
    <row r="1" spans="1:10" s="152" customFormat="1" ht="18.75" thickBot="1">
      <c r="A1" s="536" t="s">
        <v>102</v>
      </c>
      <c r="B1" s="537"/>
      <c r="C1" s="537"/>
      <c r="D1" s="537"/>
      <c r="E1" s="537"/>
      <c r="F1" s="537"/>
      <c r="G1" s="537"/>
      <c r="H1" s="537"/>
      <c r="I1" s="537"/>
      <c r="J1" s="538"/>
    </row>
    <row r="2" spans="1:10" ht="17.45" customHeight="1" thickBot="1">
      <c r="A2" s="258"/>
      <c r="B2" s="257"/>
      <c r="C2" s="256"/>
      <c r="D2" s="539" t="s">
        <v>104</v>
      </c>
      <c r="E2" s="540"/>
      <c r="F2" s="541" t="s">
        <v>98</v>
      </c>
      <c r="G2" s="542"/>
      <c r="H2" s="255"/>
      <c r="I2" s="254"/>
      <c r="J2" s="253"/>
    </row>
    <row r="3" spans="1:10" ht="42.6" customHeight="1" thickBot="1">
      <c r="A3" s="252" t="s">
        <v>58</v>
      </c>
      <c r="B3" s="251" t="s">
        <v>57</v>
      </c>
      <c r="C3" s="250" t="s">
        <v>56</v>
      </c>
      <c r="D3" s="249" t="s">
        <v>55</v>
      </c>
      <c r="E3" s="248" t="s">
        <v>54</v>
      </c>
      <c r="F3" s="247" t="s">
        <v>55</v>
      </c>
      <c r="G3" s="247" t="s">
        <v>54</v>
      </c>
      <c r="H3" s="246" t="s">
        <v>53</v>
      </c>
      <c r="I3" s="245" t="s">
        <v>52</v>
      </c>
      <c r="J3" s="244" t="s">
        <v>51</v>
      </c>
    </row>
    <row r="4" spans="1:10" ht="14.25" thickTop="1" thickBot="1">
      <c r="A4" s="243" t="s">
        <v>50</v>
      </c>
      <c r="B4" s="242"/>
      <c r="C4" s="241"/>
      <c r="D4" s="239"/>
      <c r="E4" s="239"/>
      <c r="F4" s="240"/>
      <c r="G4" s="239"/>
      <c r="H4" s="239"/>
      <c r="I4" s="238"/>
      <c r="J4" s="237"/>
    </row>
    <row r="5" spans="1:10" s="152" customFormat="1" ht="13.5" thickBot="1">
      <c r="A5" s="178">
        <v>1</v>
      </c>
      <c r="B5" s="196" t="s">
        <v>49</v>
      </c>
      <c r="C5" s="236"/>
      <c r="D5" s="235">
        <v>7885863</v>
      </c>
      <c r="E5" s="194"/>
      <c r="F5" s="235">
        <f>7885863</f>
        <v>7885863</v>
      </c>
      <c r="G5" s="194"/>
      <c r="H5" s="234">
        <f>F5-D5</f>
        <v>0</v>
      </c>
      <c r="I5" s="233">
        <f>H5/D5</f>
        <v>0</v>
      </c>
      <c r="J5" s="232">
        <f>F5</f>
        <v>7885863</v>
      </c>
    </row>
    <row r="6" spans="1:10" s="152" customFormat="1" ht="13.5" thickBot="1">
      <c r="A6" s="178">
        <v>2</v>
      </c>
      <c r="B6" s="191" t="s">
        <v>38</v>
      </c>
      <c r="C6" s="190"/>
      <c r="D6" s="231">
        <f>SUM(E7:E10)</f>
        <v>2641200</v>
      </c>
      <c r="E6" s="230"/>
      <c r="F6" s="231">
        <f>SUM(G7:G10)</f>
        <v>2641200</v>
      </c>
      <c r="G6" s="230"/>
      <c r="H6" s="187">
        <f>SUM(H7:H10)</f>
        <v>0</v>
      </c>
      <c r="I6" s="229">
        <f>H6/D6</f>
        <v>0</v>
      </c>
      <c r="J6" s="185">
        <f>J5+F6</f>
        <v>10527063</v>
      </c>
    </row>
    <row r="7" spans="1:10" s="152" customFormat="1">
      <c r="A7" s="223"/>
      <c r="B7" s="222"/>
      <c r="C7" s="228" t="s">
        <v>68</v>
      </c>
      <c r="D7" s="227"/>
      <c r="E7" s="225">
        <v>2028200</v>
      </c>
      <c r="F7" s="226"/>
      <c r="G7" s="225">
        <v>2028200</v>
      </c>
      <c r="H7" s="209">
        <f>G7-E7</f>
        <v>0</v>
      </c>
      <c r="I7" s="217">
        <f>H7/E7</f>
        <v>0</v>
      </c>
      <c r="J7" s="224"/>
    </row>
    <row r="8" spans="1:10" s="152" customFormat="1">
      <c r="A8" s="223"/>
      <c r="B8" s="222"/>
      <c r="C8" s="526" t="s">
        <v>99</v>
      </c>
      <c r="D8" s="227"/>
      <c r="E8" s="225">
        <v>201800</v>
      </c>
      <c r="F8" s="226"/>
      <c r="G8" s="225">
        <v>201800</v>
      </c>
      <c r="H8" s="209">
        <f>G8-E8</f>
        <v>0</v>
      </c>
      <c r="I8" s="217">
        <f>H8/E8</f>
        <v>0</v>
      </c>
      <c r="J8" s="224"/>
    </row>
    <row r="9" spans="1:10" s="152" customFormat="1">
      <c r="A9" s="223"/>
      <c r="B9" s="222"/>
      <c r="C9" s="221" t="s">
        <v>48</v>
      </c>
      <c r="D9" s="220"/>
      <c r="E9" s="218">
        <v>381000</v>
      </c>
      <c r="F9" s="219"/>
      <c r="G9" s="218">
        <v>381000</v>
      </c>
      <c r="H9" s="209">
        <f>G9-E9</f>
        <v>0</v>
      </c>
      <c r="I9" s="217">
        <f>H9/E9</f>
        <v>0</v>
      </c>
      <c r="J9" s="216"/>
    </row>
    <row r="10" spans="1:10" s="152" customFormat="1" ht="13.5" thickBot="1">
      <c r="A10" s="215"/>
      <c r="B10" s="214"/>
      <c r="C10" s="213" t="s">
        <v>47</v>
      </c>
      <c r="D10" s="212"/>
      <c r="E10" s="210">
        <v>30200</v>
      </c>
      <c r="F10" s="211"/>
      <c r="G10" s="210">
        <v>30200</v>
      </c>
      <c r="H10" s="209">
        <f>G10-E10</f>
        <v>0</v>
      </c>
      <c r="I10" s="208">
        <f>H10/E10</f>
        <v>0</v>
      </c>
      <c r="J10" s="207"/>
    </row>
    <row r="11" spans="1:10" s="152" customFormat="1" ht="13.5" thickBot="1">
      <c r="A11" s="178">
        <v>3</v>
      </c>
      <c r="B11" s="206" t="s">
        <v>100</v>
      </c>
      <c r="C11" s="205"/>
      <c r="D11" s="188">
        <f>SUM(E12:E13)</f>
        <v>837900</v>
      </c>
      <c r="E11" s="187"/>
      <c r="F11" s="188">
        <f>SUM(G12:G13)</f>
        <v>837900</v>
      </c>
      <c r="G11" s="187"/>
      <c r="H11" s="187">
        <f>SUM(H12:H12)</f>
        <v>0</v>
      </c>
      <c r="I11" s="192">
        <f>H11/(D11)</f>
        <v>0</v>
      </c>
      <c r="J11" s="204">
        <f>J6+F11</f>
        <v>11364963</v>
      </c>
    </row>
    <row r="12" spans="1:10" s="152" customFormat="1" ht="13.5" thickBot="1">
      <c r="A12" s="203"/>
      <c r="B12" s="202"/>
      <c r="C12" s="201" t="s">
        <v>101</v>
      </c>
      <c r="D12" s="200"/>
      <c r="E12" s="199">
        <v>724100</v>
      </c>
      <c r="F12" s="200"/>
      <c r="G12" s="199">
        <v>724100</v>
      </c>
      <c r="H12" s="129">
        <f>G12-E12</f>
        <v>0</v>
      </c>
      <c r="I12" s="128">
        <f>H12/E12</f>
        <v>0</v>
      </c>
      <c r="J12" s="127"/>
    </row>
    <row r="13" spans="1:10" s="152" customFormat="1" ht="13.5" thickBot="1">
      <c r="A13" s="203"/>
      <c r="B13" s="527"/>
      <c r="C13" s="529"/>
      <c r="D13" s="530"/>
      <c r="E13" s="531">
        <v>113800</v>
      </c>
      <c r="F13" s="530"/>
      <c r="G13" s="531">
        <v>113800</v>
      </c>
      <c r="H13" s="129">
        <f>G13-E13</f>
        <v>0</v>
      </c>
      <c r="I13" s="128">
        <f>H13/E13</f>
        <v>0</v>
      </c>
      <c r="J13" s="528"/>
    </row>
    <row r="14" spans="1:10" s="152" customFormat="1" ht="13.5" thickBot="1">
      <c r="A14" s="178">
        <v>4</v>
      </c>
      <c r="B14" s="196" t="s">
        <v>46</v>
      </c>
      <c r="C14" s="190"/>
      <c r="D14" s="188">
        <f>10900+15800</f>
        <v>26700</v>
      </c>
      <c r="E14" s="198"/>
      <c r="F14" s="188">
        <f>10900+15800</f>
        <v>26700</v>
      </c>
      <c r="G14" s="189"/>
      <c r="H14" s="187">
        <f t="shared" ref="H14:H20" si="0">F14-D14</f>
        <v>0</v>
      </c>
      <c r="I14" s="197">
        <f t="shared" ref="I14:I20" si="1">H14/D14</f>
        <v>0</v>
      </c>
      <c r="J14" s="185">
        <f>J11+F14</f>
        <v>11391663</v>
      </c>
    </row>
    <row r="15" spans="1:10" s="152" customFormat="1" ht="13.5" thickBot="1">
      <c r="A15" s="178">
        <v>5</v>
      </c>
      <c r="B15" s="196" t="s">
        <v>45</v>
      </c>
      <c r="C15" s="195"/>
      <c r="D15" s="188">
        <v>178800</v>
      </c>
      <c r="E15" s="194"/>
      <c r="F15" s="188">
        <v>178800</v>
      </c>
      <c r="G15" s="194"/>
      <c r="H15" s="193">
        <f t="shared" si="0"/>
        <v>0</v>
      </c>
      <c r="I15" s="192">
        <f t="shared" si="1"/>
        <v>0</v>
      </c>
      <c r="J15" s="185">
        <f t="shared" ref="J15:J20" si="2">J14+F15</f>
        <v>11570463</v>
      </c>
    </row>
    <row r="16" spans="1:10" s="152" customFormat="1" ht="13.5" thickBot="1">
      <c r="A16" s="178">
        <v>6</v>
      </c>
      <c r="B16" s="184" t="s">
        <v>44</v>
      </c>
      <c r="C16" s="183"/>
      <c r="D16" s="182">
        <v>208300</v>
      </c>
      <c r="E16" s="181"/>
      <c r="F16" s="182">
        <v>208300</v>
      </c>
      <c r="G16" s="181"/>
      <c r="H16" s="180">
        <f t="shared" si="0"/>
        <v>0</v>
      </c>
      <c r="I16" s="179">
        <f t="shared" si="1"/>
        <v>0</v>
      </c>
      <c r="J16" s="170">
        <f t="shared" si="2"/>
        <v>11778763</v>
      </c>
    </row>
    <row r="17" spans="1:10" s="152" customFormat="1" ht="13.5" thickBot="1">
      <c r="A17" s="178">
        <v>7</v>
      </c>
      <c r="B17" s="191" t="s">
        <v>43</v>
      </c>
      <c r="C17" s="190"/>
      <c r="D17" s="188">
        <v>154600</v>
      </c>
      <c r="E17" s="189"/>
      <c r="F17" s="188">
        <v>154600</v>
      </c>
      <c r="G17" s="189"/>
      <c r="H17" s="187">
        <f t="shared" si="0"/>
        <v>0</v>
      </c>
      <c r="I17" s="192">
        <f t="shared" si="1"/>
        <v>0</v>
      </c>
      <c r="J17" s="185">
        <f t="shared" si="2"/>
        <v>11933363</v>
      </c>
    </row>
    <row r="18" spans="1:10" s="152" customFormat="1" ht="13.5" thickBot="1">
      <c r="A18" s="178">
        <v>8</v>
      </c>
      <c r="B18" s="191" t="s">
        <v>42</v>
      </c>
      <c r="C18" s="190"/>
      <c r="D18" s="188">
        <v>211900</v>
      </c>
      <c r="E18" s="189"/>
      <c r="F18" s="188">
        <v>211900</v>
      </c>
      <c r="G18" s="187"/>
      <c r="H18" s="187">
        <f t="shared" si="0"/>
        <v>0</v>
      </c>
      <c r="I18" s="186">
        <f t="shared" si="1"/>
        <v>0</v>
      </c>
      <c r="J18" s="185">
        <f t="shared" si="2"/>
        <v>12145263</v>
      </c>
    </row>
    <row r="19" spans="1:10" s="152" customFormat="1" ht="13.5" thickBot="1">
      <c r="A19" s="178">
        <v>9</v>
      </c>
      <c r="B19" s="184" t="s">
        <v>41</v>
      </c>
      <c r="C19" s="183"/>
      <c r="D19" s="182">
        <f>137600+40000</f>
        <v>177600</v>
      </c>
      <c r="E19" s="181"/>
      <c r="F19" s="182">
        <v>125000</v>
      </c>
      <c r="G19" s="181"/>
      <c r="H19" s="180">
        <f t="shared" si="0"/>
        <v>-52600</v>
      </c>
      <c r="I19" s="179">
        <f t="shared" si="1"/>
        <v>-0.29617117117117114</v>
      </c>
      <c r="J19" s="170">
        <f t="shared" si="2"/>
        <v>12270263</v>
      </c>
    </row>
    <row r="20" spans="1:10" s="152" customFormat="1" ht="13.5" thickBot="1">
      <c r="A20" s="178">
        <v>10</v>
      </c>
      <c r="B20" s="177" t="s">
        <v>40</v>
      </c>
      <c r="C20" s="176"/>
      <c r="D20" s="174">
        <f>151600</f>
        <v>151600</v>
      </c>
      <c r="E20" s="175"/>
      <c r="F20" s="174">
        <f>151600</f>
        <v>151600</v>
      </c>
      <c r="G20" s="173"/>
      <c r="H20" s="172">
        <f t="shared" si="0"/>
        <v>0</v>
      </c>
      <c r="I20" s="171">
        <f t="shared" si="1"/>
        <v>0</v>
      </c>
      <c r="J20" s="170">
        <f t="shared" si="2"/>
        <v>12421863</v>
      </c>
    </row>
    <row r="21" spans="1:10" s="152" customFormat="1" ht="13.5" thickBot="1"/>
    <row r="22" spans="1:10" ht="13.5" thickBot="1">
      <c r="A22" s="169" t="s">
        <v>39</v>
      </c>
      <c r="B22" s="168"/>
      <c r="C22" s="167"/>
      <c r="D22" s="165">
        <f>SUM(E23:E26)</f>
        <v>243600</v>
      </c>
      <c r="E22" s="166"/>
      <c r="F22" s="165">
        <f>SUM(G23:G26)</f>
        <v>243600</v>
      </c>
      <c r="G22" s="164"/>
      <c r="H22" s="163">
        <f>SUM(H23:H26)</f>
        <v>0</v>
      </c>
      <c r="I22" s="162">
        <f>H22/D22</f>
        <v>0</v>
      </c>
      <c r="J22" s="161">
        <f>J20+F22</f>
        <v>12665463</v>
      </c>
    </row>
    <row r="23" spans="1:10" s="152" customFormat="1">
      <c r="A23" s="118"/>
      <c r="B23" s="159"/>
      <c r="C23" s="121" t="s">
        <v>38</v>
      </c>
      <c r="D23" s="115"/>
      <c r="E23" s="57">
        <v>141400</v>
      </c>
      <c r="F23" s="115"/>
      <c r="G23" s="57">
        <v>141400</v>
      </c>
      <c r="H23" s="57">
        <f>G23-E23</f>
        <v>0</v>
      </c>
      <c r="I23" s="160">
        <f>H23/E23</f>
        <v>0</v>
      </c>
      <c r="J23" s="55"/>
    </row>
    <row r="24" spans="1:10" s="152" customFormat="1">
      <c r="A24" s="118"/>
      <c r="B24" s="159"/>
      <c r="C24" s="116" t="s">
        <v>37</v>
      </c>
      <c r="D24" s="115"/>
      <c r="E24" s="57">
        <v>62000</v>
      </c>
      <c r="F24" s="115"/>
      <c r="G24" s="57">
        <v>62000</v>
      </c>
      <c r="H24" s="57">
        <f>G24-E24</f>
        <v>0</v>
      </c>
      <c r="I24" s="154">
        <f>H24/E24</f>
        <v>0</v>
      </c>
      <c r="J24" s="55"/>
    </row>
    <row r="25" spans="1:10" s="152" customFormat="1">
      <c r="A25" s="118"/>
      <c r="B25" s="159"/>
      <c r="C25" s="121" t="s">
        <v>28</v>
      </c>
      <c r="D25" s="115"/>
      <c r="E25" s="57">
        <v>30300</v>
      </c>
      <c r="F25" s="115"/>
      <c r="G25" s="57">
        <v>30300</v>
      </c>
      <c r="H25" s="57">
        <f>G25-E25</f>
        <v>0</v>
      </c>
      <c r="I25" s="154">
        <f>H25/E25</f>
        <v>0</v>
      </c>
      <c r="J25" s="55"/>
    </row>
    <row r="26" spans="1:10" s="152" customFormat="1" ht="13.5" thickBot="1">
      <c r="A26" s="118"/>
      <c r="B26" s="158"/>
      <c r="C26" s="157" t="s">
        <v>27</v>
      </c>
      <c r="D26" s="156"/>
      <c r="E26" s="155">
        <v>9900</v>
      </c>
      <c r="F26" s="156"/>
      <c r="G26" s="155">
        <v>9900</v>
      </c>
      <c r="H26" s="57">
        <f>G26-E26</f>
        <v>0</v>
      </c>
      <c r="I26" s="154">
        <v>0</v>
      </c>
      <c r="J26" s="153"/>
    </row>
    <row r="27" spans="1:10" ht="13.5" thickBot="1">
      <c r="A27" s="151" t="s">
        <v>36</v>
      </c>
      <c r="B27" s="150"/>
      <c r="C27" s="149"/>
      <c r="D27" s="148"/>
      <c r="E27" s="146"/>
      <c r="F27" s="147"/>
      <c r="G27" s="146"/>
      <c r="H27" s="146"/>
      <c r="I27" s="145"/>
      <c r="J27" s="122"/>
    </row>
    <row r="28" spans="1:10" ht="13.5" thickBot="1">
      <c r="A28" s="100">
        <v>1</v>
      </c>
      <c r="B28" s="137" t="s">
        <v>35</v>
      </c>
      <c r="C28" s="144"/>
      <c r="D28" s="97">
        <v>487700</v>
      </c>
      <c r="E28" s="143"/>
      <c r="F28" s="97">
        <v>487700</v>
      </c>
      <c r="G28" s="102"/>
      <c r="H28" s="101">
        <f>F28-D28</f>
        <v>0</v>
      </c>
      <c r="I28" s="94">
        <f>H28/D28</f>
        <v>0</v>
      </c>
      <c r="J28" s="122">
        <f>J22+F28</f>
        <v>13153163</v>
      </c>
    </row>
    <row r="29" spans="1:10" ht="13.5" thickBot="1">
      <c r="A29" s="100">
        <v>2</v>
      </c>
      <c r="B29" s="99" t="s">
        <v>34</v>
      </c>
      <c r="C29" s="98"/>
      <c r="D29" s="106">
        <f>454200</f>
        <v>454200</v>
      </c>
      <c r="E29" s="142"/>
      <c r="F29" s="106">
        <f>454200</f>
        <v>454200</v>
      </c>
      <c r="G29" s="142"/>
      <c r="H29" s="101">
        <f>F29-D29</f>
        <v>0</v>
      </c>
      <c r="I29" s="141">
        <f>H29/D29</f>
        <v>0</v>
      </c>
      <c r="J29" s="122">
        <f>J28+F29</f>
        <v>13607363</v>
      </c>
    </row>
    <row r="30" spans="1:10" s="126" customFormat="1" ht="13.5" thickBot="1">
      <c r="A30" s="100">
        <v>3</v>
      </c>
      <c r="B30" s="140" t="s">
        <v>33</v>
      </c>
      <c r="C30" s="139"/>
      <c r="D30" s="138">
        <v>100000</v>
      </c>
      <c r="E30" s="135"/>
      <c r="F30" s="138">
        <v>100000</v>
      </c>
      <c r="G30" s="135"/>
      <c r="H30" s="135">
        <f>F30-D30</f>
        <v>0</v>
      </c>
      <c r="I30" s="94">
        <f>H30/D30</f>
        <v>0</v>
      </c>
      <c r="J30" s="122">
        <f>J29+F30</f>
        <v>13707363</v>
      </c>
    </row>
    <row r="31" spans="1:10" s="126" customFormat="1" ht="13.5" thickBot="1">
      <c r="A31" s="100">
        <v>4</v>
      </c>
      <c r="B31" s="137" t="s">
        <v>32</v>
      </c>
      <c r="C31" s="136"/>
      <c r="D31" s="97">
        <f>SUM(E32:E32)</f>
        <v>108300</v>
      </c>
      <c r="E31" s="102"/>
      <c r="F31" s="97">
        <f>SUM(G32:G32)</f>
        <v>108300</v>
      </c>
      <c r="G31" s="102"/>
      <c r="H31" s="135">
        <f>F31-D31</f>
        <v>0</v>
      </c>
      <c r="I31" s="134">
        <f>H31/D31</f>
        <v>0</v>
      </c>
      <c r="J31" s="122">
        <f>J30+F31</f>
        <v>13815663</v>
      </c>
    </row>
    <row r="32" spans="1:10" s="126" customFormat="1" ht="13.5" thickBot="1">
      <c r="A32" s="133"/>
      <c r="B32" s="132"/>
      <c r="C32" s="131" t="s">
        <v>31</v>
      </c>
      <c r="D32" s="130"/>
      <c r="E32" s="129">
        <v>108300</v>
      </c>
      <c r="F32" s="130"/>
      <c r="G32" s="129">
        <v>108300</v>
      </c>
      <c r="H32" s="129">
        <f>G32-E32</f>
        <v>0</v>
      </c>
      <c r="I32" s="128">
        <f>H32/E32</f>
        <v>0</v>
      </c>
      <c r="J32" s="127"/>
    </row>
    <row r="33" spans="1:11" ht="13.5" thickBot="1">
      <c r="A33" s="100">
        <v>5</v>
      </c>
      <c r="B33" s="125" t="s">
        <v>30</v>
      </c>
      <c r="C33" s="124"/>
      <c r="D33" s="97">
        <f>SUM(E34:E37)</f>
        <v>606200</v>
      </c>
      <c r="E33" s="102"/>
      <c r="F33" s="97">
        <f>SUM(G34:G37)</f>
        <v>658800</v>
      </c>
      <c r="G33" s="123"/>
      <c r="H33" s="101">
        <f>SUM(H34:H37)</f>
        <v>52600</v>
      </c>
      <c r="I33" s="94">
        <f>H33/D33</f>
        <v>8.6770042890135263E-2</v>
      </c>
      <c r="J33" s="122">
        <f>J31+F33</f>
        <v>14474463</v>
      </c>
      <c r="K33" s="3"/>
    </row>
    <row r="34" spans="1:11">
      <c r="A34" s="118"/>
      <c r="B34" s="117"/>
      <c r="C34" s="121" t="s">
        <v>29</v>
      </c>
      <c r="D34" s="115"/>
      <c r="E34" s="57">
        <f>91900+5600</f>
        <v>97500</v>
      </c>
      <c r="F34" s="115"/>
      <c r="G34" s="57">
        <f>91900+5600</f>
        <v>97500</v>
      </c>
      <c r="H34" s="114">
        <f>G34-E34</f>
        <v>0</v>
      </c>
      <c r="I34" s="15">
        <f>H34/E34</f>
        <v>0</v>
      </c>
      <c r="J34" s="55"/>
      <c r="K34" s="120"/>
    </row>
    <row r="35" spans="1:11">
      <c r="A35" s="118"/>
      <c r="B35" s="117"/>
      <c r="C35" s="119" t="s">
        <v>28</v>
      </c>
      <c r="D35" s="115"/>
      <c r="E35" s="532">
        <v>137900</v>
      </c>
      <c r="F35" s="533"/>
      <c r="G35" s="532">
        <v>137900</v>
      </c>
      <c r="H35" s="114">
        <f>G35-E35</f>
        <v>0</v>
      </c>
      <c r="I35" s="15">
        <f>H35/E35</f>
        <v>0</v>
      </c>
      <c r="J35" s="55"/>
    </row>
    <row r="36" spans="1:11">
      <c r="A36" s="118"/>
      <c r="B36" s="117"/>
      <c r="C36" s="116" t="s">
        <v>27</v>
      </c>
      <c r="D36" s="115"/>
      <c r="E36" s="532">
        <v>232900</v>
      </c>
      <c r="F36" s="533"/>
      <c r="G36" s="532">
        <v>285500</v>
      </c>
      <c r="H36" s="114">
        <f>G36-E36</f>
        <v>52600</v>
      </c>
      <c r="I36" s="15">
        <f>H36/E36</f>
        <v>0.22584800343495062</v>
      </c>
      <c r="J36" s="55"/>
    </row>
    <row r="37" spans="1:11" ht="13.5" thickBot="1">
      <c r="A37" s="113"/>
      <c r="B37" s="112"/>
      <c r="C37" s="111" t="s">
        <v>26</v>
      </c>
      <c r="D37" s="110"/>
      <c r="E37" s="534">
        <v>137900</v>
      </c>
      <c r="F37" s="535"/>
      <c r="G37" s="534">
        <v>137900</v>
      </c>
      <c r="H37" s="109">
        <f>G37-E37</f>
        <v>0</v>
      </c>
      <c r="I37" s="7">
        <f>H37/E37</f>
        <v>0</v>
      </c>
      <c r="J37" s="46"/>
    </row>
    <row r="38" spans="1:11" ht="13.5" thickBot="1">
      <c r="A38" s="100">
        <v>6</v>
      </c>
      <c r="B38" s="108" t="s">
        <v>25</v>
      </c>
      <c r="C38" s="107"/>
      <c r="D38" s="106">
        <f>88400</f>
        <v>88400</v>
      </c>
      <c r="E38" s="105"/>
      <c r="F38" s="106">
        <f>88400</f>
        <v>88400</v>
      </c>
      <c r="G38" s="105"/>
      <c r="H38" s="104">
        <f t="shared" ref="H38:H43" si="3">F38-D38</f>
        <v>0</v>
      </c>
      <c r="I38" s="103">
        <v>0</v>
      </c>
      <c r="J38" s="93">
        <f>J33+F38</f>
        <v>14562863</v>
      </c>
    </row>
    <row r="39" spans="1:11" ht="13.5" thickBot="1">
      <c r="A39" s="100">
        <v>7</v>
      </c>
      <c r="B39" s="99" t="s">
        <v>24</v>
      </c>
      <c r="C39" s="98"/>
      <c r="D39" s="97">
        <f>235149-25000</f>
        <v>210149</v>
      </c>
      <c r="E39" s="102"/>
      <c r="F39" s="97">
        <f>235149-25000</f>
        <v>210149</v>
      </c>
      <c r="G39" s="102"/>
      <c r="H39" s="101">
        <f t="shared" si="3"/>
        <v>0</v>
      </c>
      <c r="I39" s="94">
        <f>H39/D39</f>
        <v>0</v>
      </c>
      <c r="J39" s="93">
        <f>J38+F39</f>
        <v>14773012</v>
      </c>
    </row>
    <row r="40" spans="1:11" ht="13.5" thickBot="1">
      <c r="A40" s="100">
        <v>8</v>
      </c>
      <c r="B40" s="99" t="s">
        <v>23</v>
      </c>
      <c r="C40" s="98"/>
      <c r="D40" s="97">
        <v>156800</v>
      </c>
      <c r="E40" s="96"/>
      <c r="F40" s="97">
        <v>156800</v>
      </c>
      <c r="G40" s="96"/>
      <c r="H40" s="101">
        <f t="shared" si="3"/>
        <v>0</v>
      </c>
      <c r="I40" s="94">
        <f>H40/D40</f>
        <v>0</v>
      </c>
      <c r="J40" s="93">
        <f>J39+F40</f>
        <v>14929812</v>
      </c>
    </row>
    <row r="41" spans="1:11" ht="13.5" thickBot="1">
      <c r="A41" s="100">
        <v>9</v>
      </c>
      <c r="B41" s="99" t="s">
        <v>22</v>
      </c>
      <c r="C41" s="98"/>
      <c r="D41" s="97">
        <v>218800</v>
      </c>
      <c r="E41" s="102"/>
      <c r="F41" s="97">
        <v>218800</v>
      </c>
      <c r="G41" s="102"/>
      <c r="H41" s="101">
        <f t="shared" si="3"/>
        <v>0</v>
      </c>
      <c r="I41" s="94">
        <f>H41/D41</f>
        <v>0</v>
      </c>
      <c r="J41" s="93">
        <f>J40+F41</f>
        <v>15148612</v>
      </c>
    </row>
    <row r="42" spans="1:11" ht="13.5" thickBot="1">
      <c r="A42" s="100">
        <v>10</v>
      </c>
      <c r="B42" s="99" t="s">
        <v>21</v>
      </c>
      <c r="C42" s="98"/>
      <c r="D42" s="97">
        <v>104300</v>
      </c>
      <c r="E42" s="102"/>
      <c r="F42" s="97">
        <v>104300</v>
      </c>
      <c r="G42" s="102"/>
      <c r="H42" s="101">
        <f t="shared" si="3"/>
        <v>0</v>
      </c>
      <c r="I42" s="94">
        <f>H42/D42</f>
        <v>0</v>
      </c>
      <c r="J42" s="93">
        <f>J41+F42</f>
        <v>15252912</v>
      </c>
    </row>
    <row r="43" spans="1:11" ht="13.5" thickBot="1">
      <c r="A43" s="100">
        <v>11</v>
      </c>
      <c r="B43" s="99" t="s">
        <v>20</v>
      </c>
      <c r="C43" s="98"/>
      <c r="D43" s="97">
        <v>5800</v>
      </c>
      <c r="E43" s="96"/>
      <c r="F43" s="97">
        <v>5800</v>
      </c>
      <c r="G43" s="96"/>
      <c r="H43" s="95">
        <f t="shared" si="3"/>
        <v>0</v>
      </c>
      <c r="I43" s="94">
        <f>H43/D43</f>
        <v>0</v>
      </c>
      <c r="J43" s="93">
        <f>J42+F43</f>
        <v>15258712</v>
      </c>
    </row>
    <row r="44" spans="1:11">
      <c r="A44" s="92" t="s">
        <v>19</v>
      </c>
      <c r="B44" s="91"/>
      <c r="C44" s="90"/>
      <c r="D44" s="89">
        <f>SUM(D5:D20)+E23+E24</f>
        <v>12677863</v>
      </c>
      <c r="E44" s="88">
        <f>D44/D47</f>
        <v>0.83086062571991659</v>
      </c>
      <c r="F44" s="87">
        <f>SUM(F4:F20)+G23+G24</f>
        <v>12625263</v>
      </c>
      <c r="G44" s="86">
        <f>F44/F47</f>
        <v>0.82741341471023244</v>
      </c>
      <c r="H44" s="85"/>
      <c r="I44" s="84"/>
      <c r="J44" s="30"/>
    </row>
    <row r="45" spans="1:11" ht="13.5" thickBot="1">
      <c r="A45" s="83" t="s">
        <v>18</v>
      </c>
      <c r="B45" s="82"/>
      <c r="C45" s="81"/>
      <c r="D45" s="80">
        <f>SUM(D28:D43)+E25+E26</f>
        <v>2580849</v>
      </c>
      <c r="E45" s="79">
        <f>D45/D47</f>
        <v>0.16913937428008341</v>
      </c>
      <c r="F45" s="80">
        <f>SUM(F28:F43)+G25+G26</f>
        <v>2633449</v>
      </c>
      <c r="G45" s="79">
        <f>F45/F47</f>
        <v>0.17258658528976759</v>
      </c>
      <c r="H45" s="78"/>
      <c r="I45" s="77"/>
      <c r="J45" s="6"/>
    </row>
    <row r="46" spans="1:11" ht="13.5" thickBot="1">
      <c r="A46" s="63"/>
      <c r="B46" s="62"/>
      <c r="C46" s="62"/>
      <c r="D46" s="76"/>
      <c r="E46" s="74"/>
      <c r="F46" s="75"/>
      <c r="G46" s="74"/>
      <c r="H46" s="74"/>
      <c r="I46" s="73"/>
      <c r="J46" s="21"/>
    </row>
    <row r="47" spans="1:11">
      <c r="A47" s="72"/>
      <c r="B47" s="71"/>
      <c r="C47" s="70" t="s">
        <v>17</v>
      </c>
      <c r="D47" s="68">
        <f>SUM(D5:D43)</f>
        <v>15258712</v>
      </c>
      <c r="E47" s="69"/>
      <c r="F47" s="68">
        <f>SUM(F4:F43)</f>
        <v>15258712</v>
      </c>
      <c r="G47" s="67"/>
      <c r="H47" s="67">
        <f>H5+H6+H11+H14+H17+H15+H19+H18+H22+H33+H28+H29+H30+H31+H41+H40+H42+H43+H39</f>
        <v>0</v>
      </c>
      <c r="I47" s="66">
        <f>H47/D47</f>
        <v>0</v>
      </c>
      <c r="J47" s="65">
        <f>J43</f>
        <v>15258712</v>
      </c>
    </row>
    <row r="48" spans="1:11">
      <c r="A48" s="63"/>
      <c r="B48" s="62"/>
      <c r="C48" s="61" t="s">
        <v>16</v>
      </c>
      <c r="D48" s="59">
        <v>557521</v>
      </c>
      <c r="E48" s="60"/>
      <c r="F48" s="59">
        <v>569370</v>
      </c>
      <c r="G48" s="58"/>
      <c r="H48" s="57">
        <f>F48-D48</f>
        <v>11849</v>
      </c>
      <c r="I48" s="15">
        <f>H48/D48</f>
        <v>2.1253011097339833E-2</v>
      </c>
      <c r="J48" s="55">
        <f>J43+F48</f>
        <v>15828082</v>
      </c>
      <c r="K48" s="64"/>
    </row>
    <row r="49" spans="1:11">
      <c r="A49" s="63" t="s">
        <v>15</v>
      </c>
      <c r="B49" s="62"/>
      <c r="C49" s="61" t="s">
        <v>14</v>
      </c>
      <c r="D49" s="59">
        <v>239941</v>
      </c>
      <c r="E49" s="60"/>
      <c r="F49" s="59">
        <v>239941</v>
      </c>
      <c r="G49" s="58"/>
      <c r="H49" s="57">
        <f>F49-D49</f>
        <v>0</v>
      </c>
      <c r="I49" s="15">
        <f>H49/D49</f>
        <v>0</v>
      </c>
      <c r="J49" s="55">
        <f>J48+F49</f>
        <v>16068023</v>
      </c>
    </row>
    <row r="50" spans="1:11">
      <c r="A50" s="63"/>
      <c r="B50" s="62"/>
      <c r="C50" s="61" t="s">
        <v>13</v>
      </c>
      <c r="D50" s="59">
        <v>235594</v>
      </c>
      <c r="E50" s="60"/>
      <c r="F50" s="59">
        <v>241554</v>
      </c>
      <c r="G50" s="58"/>
      <c r="H50" s="57">
        <f>F50-D50</f>
        <v>5960</v>
      </c>
      <c r="I50" s="56">
        <f>H50/D50</f>
        <v>2.5297758007419544E-2</v>
      </c>
      <c r="J50" s="55">
        <f>J49+F50</f>
        <v>16309577</v>
      </c>
    </row>
    <row r="51" spans="1:11" ht="13.5" thickBot="1">
      <c r="A51" s="54"/>
      <c r="B51" s="53"/>
      <c r="C51" s="52" t="s">
        <v>12</v>
      </c>
      <c r="D51" s="51">
        <f>SUM(D47:D50)</f>
        <v>16291768</v>
      </c>
      <c r="E51" s="50"/>
      <c r="F51" s="49">
        <f>SUM(F47:F50)</f>
        <v>16309577</v>
      </c>
      <c r="G51" s="48"/>
      <c r="H51" s="47">
        <f>SUM(H47:H50)</f>
        <v>17809</v>
      </c>
      <c r="I51" s="7">
        <f>H51/D51</f>
        <v>1.0931287506672081E-3</v>
      </c>
      <c r="J51" s="46">
        <f>J50</f>
        <v>16309577</v>
      </c>
    </row>
    <row r="52" spans="1:11" ht="13.5" thickBot="1">
      <c r="A52" s="13"/>
      <c r="B52" s="12"/>
      <c r="C52" s="45" t="s">
        <v>11</v>
      </c>
      <c r="D52" s="44">
        <f>D62-D51</f>
        <v>-101400</v>
      </c>
      <c r="E52" s="43"/>
      <c r="F52" s="42">
        <f>F62-F51</f>
        <v>0</v>
      </c>
      <c r="G52" s="41"/>
      <c r="H52" s="40"/>
      <c r="I52" s="39"/>
      <c r="J52" s="38">
        <f>F62-J51</f>
        <v>0</v>
      </c>
      <c r="K52" s="37"/>
    </row>
    <row r="53" spans="1:11">
      <c r="A53" s="13"/>
      <c r="B53" s="12"/>
      <c r="C53" s="36" t="s">
        <v>10</v>
      </c>
      <c r="D53" s="34">
        <v>3646183</v>
      </c>
      <c r="E53" s="35"/>
      <c r="F53" s="34">
        <v>3684842</v>
      </c>
      <c r="G53" s="33"/>
      <c r="H53" s="32">
        <f t="shared" ref="H53:H59" si="4">F53-D53</f>
        <v>38659</v>
      </c>
      <c r="I53" s="31">
        <f t="shared" ref="I53:I63" si="5">H53/D53</f>
        <v>1.060259454887481E-2</v>
      </c>
      <c r="J53" s="30"/>
      <c r="K53" s="3"/>
    </row>
    <row r="54" spans="1:11">
      <c r="A54" s="13"/>
      <c r="B54" s="12"/>
      <c r="C54" s="28" t="s">
        <v>9</v>
      </c>
      <c r="D54" s="26">
        <v>1796739</v>
      </c>
      <c r="E54" s="19"/>
      <c r="F54" s="26">
        <v>1865596</v>
      </c>
      <c r="G54" s="17"/>
      <c r="H54" s="17">
        <f t="shared" si="4"/>
        <v>68857</v>
      </c>
      <c r="I54" s="15">
        <f t="shared" si="5"/>
        <v>3.8323317966605056E-2</v>
      </c>
      <c r="J54" s="21"/>
    </row>
    <row r="55" spans="1:11">
      <c r="A55" s="13"/>
      <c r="B55" s="12"/>
      <c r="C55" s="28" t="s">
        <v>8</v>
      </c>
      <c r="D55" s="26">
        <f>(D53+D54)</f>
        <v>5442922</v>
      </c>
      <c r="E55" s="19"/>
      <c r="F55" s="26">
        <f>(F53+F54)</f>
        <v>5550438</v>
      </c>
      <c r="G55" s="17"/>
      <c r="H55" s="17">
        <f t="shared" si="4"/>
        <v>107516</v>
      </c>
      <c r="I55" s="15">
        <f t="shared" si="5"/>
        <v>1.9753360419274793E-2</v>
      </c>
      <c r="J55" s="21"/>
    </row>
    <row r="56" spans="1:11">
      <c r="A56" s="13"/>
      <c r="B56" s="12"/>
      <c r="C56" s="27" t="s">
        <v>7</v>
      </c>
      <c r="D56" s="29">
        <v>340927</v>
      </c>
      <c r="E56" s="19"/>
      <c r="F56" s="29">
        <v>352620</v>
      </c>
      <c r="G56" s="17"/>
      <c r="H56" s="17">
        <f t="shared" si="4"/>
        <v>11693</v>
      </c>
      <c r="I56" s="15">
        <f t="shared" si="5"/>
        <v>3.4297664896004131E-2</v>
      </c>
      <c r="J56" s="21"/>
    </row>
    <row r="57" spans="1:11">
      <c r="A57" s="13"/>
      <c r="B57" s="12"/>
      <c r="C57" s="28" t="s">
        <v>6</v>
      </c>
      <c r="D57" s="29">
        <v>5976071</v>
      </c>
      <c r="E57" s="19"/>
      <c r="F57" s="29">
        <v>5976071</v>
      </c>
      <c r="G57" s="17"/>
      <c r="H57" s="17">
        <f t="shared" si="4"/>
        <v>0</v>
      </c>
      <c r="I57" s="15">
        <f t="shared" si="5"/>
        <v>0</v>
      </c>
      <c r="J57" s="21"/>
    </row>
    <row r="58" spans="1:11" s="4" customFormat="1">
      <c r="A58" s="13"/>
      <c r="B58" s="12"/>
      <c r="C58" s="28" t="s">
        <v>5</v>
      </c>
      <c r="D58" s="26">
        <v>1974107</v>
      </c>
      <c r="E58" s="19"/>
      <c r="F58" s="26">
        <v>1974107</v>
      </c>
      <c r="G58" s="17"/>
      <c r="H58" s="17">
        <f t="shared" si="4"/>
        <v>0</v>
      </c>
      <c r="I58" s="15">
        <f t="shared" si="5"/>
        <v>0</v>
      </c>
      <c r="J58" s="21"/>
      <c r="K58" s="1"/>
    </row>
    <row r="59" spans="1:11" s="4" customFormat="1">
      <c r="A59" s="13"/>
      <c r="B59" s="12"/>
      <c r="C59" s="27" t="s">
        <v>4</v>
      </c>
      <c r="D59" s="26">
        <v>61463</v>
      </c>
      <c r="E59" s="19"/>
      <c r="F59" s="26">
        <v>61463</v>
      </c>
      <c r="G59" s="17"/>
      <c r="H59" s="17">
        <f t="shared" si="4"/>
        <v>0</v>
      </c>
      <c r="I59" s="15">
        <f t="shared" si="5"/>
        <v>0</v>
      </c>
      <c r="J59" s="21"/>
      <c r="K59" s="1"/>
    </row>
    <row r="60" spans="1:11" s="4" customFormat="1">
      <c r="A60" s="13"/>
      <c r="B60" s="12"/>
      <c r="C60" s="27" t="s">
        <v>3</v>
      </c>
      <c r="D60" s="26">
        <f>SUM(D55:D59)</f>
        <v>13795490</v>
      </c>
      <c r="E60" s="19"/>
      <c r="F60" s="26">
        <f>SUM(F55:F59)</f>
        <v>13914699</v>
      </c>
      <c r="G60" s="17"/>
      <c r="H60" s="17">
        <f>SUM(H55:H59)</f>
        <v>119209</v>
      </c>
      <c r="I60" s="25">
        <f t="shared" si="5"/>
        <v>8.6411573637471383E-3</v>
      </c>
      <c r="J60" s="21"/>
      <c r="K60" s="1"/>
    </row>
    <row r="61" spans="1:11" s="4" customFormat="1">
      <c r="A61" s="13"/>
      <c r="B61" s="24"/>
      <c r="C61" s="23" t="s">
        <v>2</v>
      </c>
      <c r="D61" s="22">
        <v>2394878</v>
      </c>
      <c r="E61" s="19"/>
      <c r="F61" s="22">
        <v>2394878</v>
      </c>
      <c r="G61" s="17"/>
      <c r="H61" s="17">
        <f>F61-D61</f>
        <v>0</v>
      </c>
      <c r="I61" s="15">
        <f t="shared" si="5"/>
        <v>0</v>
      </c>
      <c r="J61" s="21"/>
      <c r="K61" s="1"/>
    </row>
    <row r="62" spans="1:11" s="4" customFormat="1">
      <c r="A62" s="13"/>
      <c r="B62" s="12"/>
      <c r="C62" s="20" t="s">
        <v>1</v>
      </c>
      <c r="D62" s="18">
        <f>SUM(D60:D61)</f>
        <v>16190368</v>
      </c>
      <c r="E62" s="19"/>
      <c r="F62" s="18">
        <f>SUM(F60:F61)</f>
        <v>16309577</v>
      </c>
      <c r="G62" s="17"/>
      <c r="H62" s="16">
        <f>F62-D62</f>
        <v>119209</v>
      </c>
      <c r="I62" s="15">
        <f t="shared" si="5"/>
        <v>7.3629580254136288E-3</v>
      </c>
      <c r="J62" s="14"/>
      <c r="K62" s="1"/>
    </row>
    <row r="63" spans="1:11" s="4" customFormat="1" ht="13.5" thickBot="1">
      <c r="A63" s="13"/>
      <c r="B63" s="12"/>
      <c r="C63" s="11" t="s">
        <v>0</v>
      </c>
      <c r="D63" s="9">
        <f>D62-D48-D49-D50</f>
        <v>15157312</v>
      </c>
      <c r="E63" s="10"/>
      <c r="F63" s="9">
        <f>F62-F48-F49-F50</f>
        <v>15258712</v>
      </c>
      <c r="G63" s="8"/>
      <c r="H63" s="8">
        <f>H62-H48-H49-H50</f>
        <v>101400</v>
      </c>
      <c r="I63" s="7">
        <f t="shared" si="5"/>
        <v>6.6898405205355676E-3</v>
      </c>
      <c r="J63" s="6"/>
      <c r="K63" s="1"/>
    </row>
    <row r="64" spans="1:11" s="4" customFormat="1">
      <c r="A64" s="1"/>
      <c r="B64" s="1"/>
      <c r="C64" s="1"/>
      <c r="D64" s="3"/>
      <c r="E64" s="3"/>
      <c r="F64" s="5"/>
      <c r="G64" s="3"/>
      <c r="H64" s="3"/>
      <c r="I64" s="2"/>
      <c r="J64" s="1"/>
      <c r="K64" s="1"/>
    </row>
  </sheetData>
  <mergeCells count="3">
    <mergeCell ref="A1:J1"/>
    <mergeCell ref="D2:E2"/>
    <mergeCell ref="F2:G2"/>
  </mergeCells>
  <printOptions horizontalCentered="1"/>
  <pageMargins left="0.34" right="0.36" top="0.32" bottom="0.56999999999999995" header="0.27" footer="0.32"/>
  <pageSetup scale="69" fitToHeight="0" orientation="portrait" r:id="rId1"/>
  <headerFooter alignWithMargins="0">
    <oddFooter>&amp;R&amp;D</oddFooter>
  </headerFooter>
  <ignoredErrors>
    <ignoredError sqref="D11:D63 E34:E44 E46:E63 F5:F43 F45:F63 G34:G63 H5:H10 H61:H63 H34:H59 H12:H32 I5:I10 I12:I31 I33:I63" unlockedFormula="1"/>
    <ignoredError sqref="E45 F44 H60 H33 H11:I11 I32" formula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25" sqref="D25"/>
    </sheetView>
  </sheetViews>
  <sheetFormatPr defaultColWidth="9.140625" defaultRowHeight="12.75"/>
  <cols>
    <col min="1" max="1" width="10.140625" style="381" customWidth="1"/>
    <col min="2" max="2" width="31.28515625" style="381" customWidth="1"/>
    <col min="3" max="3" width="44.140625" style="381" customWidth="1"/>
    <col min="4" max="8" width="12.28515625" style="382" customWidth="1"/>
    <col min="9" max="9" width="13.28515625" style="382" customWidth="1"/>
    <col min="10" max="11" width="9.140625" style="1"/>
    <col min="12" max="12" width="11.140625" style="1" bestFit="1" customWidth="1"/>
    <col min="13" max="16384" width="9.140625" style="1"/>
  </cols>
  <sheetData>
    <row r="1" spans="1:11">
      <c r="A1" s="259"/>
      <c r="B1" s="260"/>
      <c r="C1" s="261"/>
      <c r="D1" s="543" t="s">
        <v>103</v>
      </c>
      <c r="E1" s="544"/>
      <c r="F1" s="544"/>
      <c r="G1" s="544"/>
      <c r="H1" s="544"/>
      <c r="I1" s="545"/>
    </row>
    <row r="2" spans="1:11">
      <c r="A2" s="262"/>
      <c r="B2" s="263"/>
      <c r="C2" s="264"/>
      <c r="D2" s="546"/>
      <c r="E2" s="547"/>
      <c r="F2" s="547"/>
      <c r="G2" s="547"/>
      <c r="H2" s="547"/>
      <c r="I2" s="548"/>
    </row>
    <row r="3" spans="1:11" ht="13.5" thickBot="1">
      <c r="A3" s="262" t="s">
        <v>58</v>
      </c>
      <c r="B3" s="263" t="s">
        <v>59</v>
      </c>
      <c r="C3" s="264" t="s">
        <v>56</v>
      </c>
      <c r="D3" s="265" t="s">
        <v>60</v>
      </c>
      <c r="E3" s="266" t="s">
        <v>61</v>
      </c>
      <c r="F3" s="267" t="s">
        <v>62</v>
      </c>
      <c r="G3" s="268" t="s">
        <v>63</v>
      </c>
      <c r="H3" s="268" t="s">
        <v>64</v>
      </c>
      <c r="I3" s="269" t="s">
        <v>65</v>
      </c>
    </row>
    <row r="4" spans="1:11" ht="13.5" thickBot="1">
      <c r="A4" s="270">
        <v>1</v>
      </c>
      <c r="B4" s="271" t="s">
        <v>49</v>
      </c>
      <c r="C4" s="272"/>
      <c r="D4" s="273">
        <v>0</v>
      </c>
      <c r="E4" s="274">
        <v>0</v>
      </c>
      <c r="F4" s="275">
        <v>5976071</v>
      </c>
      <c r="G4" s="276">
        <v>0</v>
      </c>
      <c r="H4" s="277">
        <v>1909792</v>
      </c>
      <c r="I4" s="278">
        <f>SUM(D4:H4)</f>
        <v>7885863</v>
      </c>
    </row>
    <row r="5" spans="1:11" ht="13.5" thickBot="1">
      <c r="A5" s="279"/>
      <c r="B5" s="260"/>
      <c r="C5" s="280"/>
      <c r="D5" s="281"/>
      <c r="E5" s="282"/>
      <c r="F5" s="282"/>
      <c r="G5" s="281"/>
      <c r="H5" s="283"/>
      <c r="I5" s="284"/>
    </row>
    <row r="6" spans="1:11" ht="13.5" thickBot="1">
      <c r="A6" s="285">
        <v>2</v>
      </c>
      <c r="B6" s="286" t="s">
        <v>66</v>
      </c>
      <c r="C6" s="272"/>
      <c r="D6" s="287">
        <f t="shared" ref="D6:I6" si="0">SUM(D7:D7)</f>
        <v>724100</v>
      </c>
      <c r="E6" s="275">
        <f t="shared" si="0"/>
        <v>113800</v>
      </c>
      <c r="F6" s="275">
        <f t="shared" si="0"/>
        <v>0</v>
      </c>
      <c r="G6" s="275">
        <f t="shared" si="0"/>
        <v>0</v>
      </c>
      <c r="H6" s="275">
        <f t="shared" si="0"/>
        <v>0</v>
      </c>
      <c r="I6" s="288">
        <f t="shared" si="0"/>
        <v>837900</v>
      </c>
    </row>
    <row r="7" spans="1:11" ht="13.5" thickBot="1">
      <c r="A7" s="289"/>
      <c r="B7" s="290"/>
      <c r="C7" s="291" t="s">
        <v>67</v>
      </c>
      <c r="D7" s="292">
        <f>ROUND(699100+25000,-2)</f>
        <v>724100</v>
      </c>
      <c r="E7" s="293">
        <f>ROUND(111600+2200,-2)</f>
        <v>113800</v>
      </c>
      <c r="F7" s="294">
        <v>0</v>
      </c>
      <c r="G7" s="295">
        <v>0</v>
      </c>
      <c r="H7" s="294">
        <v>0</v>
      </c>
      <c r="I7" s="296">
        <f>SUM(D7:H7)</f>
        <v>837900</v>
      </c>
      <c r="K7" s="3"/>
    </row>
    <row r="8" spans="1:11" ht="13.5" thickBot="1">
      <c r="A8" s="297"/>
      <c r="B8" s="298"/>
      <c r="C8" s="280"/>
      <c r="D8" s="299"/>
      <c r="E8" s="299"/>
      <c r="F8" s="299"/>
      <c r="G8" s="299"/>
      <c r="H8" s="299"/>
      <c r="I8" s="300"/>
    </row>
    <row r="9" spans="1:11" ht="13.5" thickBot="1">
      <c r="A9" s="285">
        <v>3</v>
      </c>
      <c r="B9" s="286" t="s">
        <v>38</v>
      </c>
      <c r="C9" s="272"/>
      <c r="D9" s="287">
        <f t="shared" ref="D9:I9" si="1">SUM(D10:D12)</f>
        <v>2202000</v>
      </c>
      <c r="E9" s="275">
        <f t="shared" si="1"/>
        <v>201800</v>
      </c>
      <c r="F9" s="301">
        <f t="shared" si="1"/>
        <v>181600</v>
      </c>
      <c r="G9" s="275">
        <f t="shared" si="1"/>
        <v>0</v>
      </c>
      <c r="H9" s="275">
        <f t="shared" si="1"/>
        <v>55800</v>
      </c>
      <c r="I9" s="288">
        <f t="shared" si="1"/>
        <v>2641200</v>
      </c>
    </row>
    <row r="10" spans="1:11" s="311" customFormat="1">
      <c r="A10" s="302"/>
      <c r="B10" s="303"/>
      <c r="C10" s="304" t="s">
        <v>68</v>
      </c>
      <c r="D10" s="305">
        <v>1846600</v>
      </c>
      <c r="E10" s="306">
        <v>201800</v>
      </c>
      <c r="F10" s="307">
        <v>181600</v>
      </c>
      <c r="G10" s="308">
        <v>0</v>
      </c>
      <c r="H10" s="309">
        <v>0</v>
      </c>
      <c r="I10" s="310">
        <f>SUM(D10:H10)</f>
        <v>2230000</v>
      </c>
    </row>
    <row r="11" spans="1:11">
      <c r="A11" s="279"/>
      <c r="B11" s="312"/>
      <c r="C11" s="313" t="s">
        <v>48</v>
      </c>
      <c r="D11" s="314">
        <v>325200</v>
      </c>
      <c r="E11" s="315">
        <v>0</v>
      </c>
      <c r="F11" s="315">
        <v>0</v>
      </c>
      <c r="G11" s="316">
        <v>0</v>
      </c>
      <c r="H11" s="317">
        <f>80800-25000</f>
        <v>55800</v>
      </c>
      <c r="I11" s="318">
        <f>SUM(D11:H11)</f>
        <v>381000</v>
      </c>
    </row>
    <row r="12" spans="1:11" ht="13.5" thickBot="1">
      <c r="A12" s="297"/>
      <c r="B12" s="319"/>
      <c r="C12" s="320" t="s">
        <v>47</v>
      </c>
      <c r="D12" s="321">
        <v>30200</v>
      </c>
      <c r="E12" s="322">
        <v>0</v>
      </c>
      <c r="F12" s="323">
        <v>0</v>
      </c>
      <c r="G12" s="324">
        <v>0</v>
      </c>
      <c r="H12" s="325">
        <v>0</v>
      </c>
      <c r="I12" s="326">
        <f>SUM(D12:H12)</f>
        <v>30200</v>
      </c>
    </row>
    <row r="13" spans="1:11" s="311" customFormat="1" ht="13.5" thickBot="1">
      <c r="A13" s="327">
        <v>4</v>
      </c>
      <c r="B13" s="328" t="s">
        <v>69</v>
      </c>
      <c r="C13" s="329"/>
      <c r="D13" s="330">
        <f>7300+2800</f>
        <v>10100</v>
      </c>
      <c r="E13" s="330">
        <v>0</v>
      </c>
      <c r="F13" s="330">
        <f>ROUND(3600+13000,-2)</f>
        <v>16600</v>
      </c>
      <c r="G13" s="331">
        <v>0</v>
      </c>
      <c r="H13" s="332">
        <v>0</v>
      </c>
      <c r="I13" s="333">
        <f>SUM(D13:H13)</f>
        <v>26700</v>
      </c>
    </row>
    <row r="14" spans="1:11" ht="13.5" thickBot="1">
      <c r="A14" s="279"/>
      <c r="B14" s="263"/>
      <c r="C14" s="280"/>
      <c r="D14" s="334"/>
      <c r="E14" s="299"/>
      <c r="F14" s="299"/>
      <c r="G14" s="299"/>
      <c r="H14" s="299"/>
      <c r="I14" s="335"/>
    </row>
    <row r="15" spans="1:11" s="311" customFormat="1" ht="13.5" thickBot="1">
      <c r="A15" s="336">
        <v>5</v>
      </c>
      <c r="B15" s="328" t="s">
        <v>45</v>
      </c>
      <c r="C15" s="329"/>
      <c r="D15" s="337">
        <v>138000</v>
      </c>
      <c r="E15" s="337">
        <f>SUM(E16:E16)</f>
        <v>0</v>
      </c>
      <c r="F15" s="337">
        <v>40800</v>
      </c>
      <c r="G15" s="337">
        <f>SUM(G16:G16)</f>
        <v>0</v>
      </c>
      <c r="H15" s="337">
        <f>SUM(H16:H16)</f>
        <v>0</v>
      </c>
      <c r="I15" s="338">
        <f>SUM(D15:H15)</f>
        <v>178800</v>
      </c>
    </row>
    <row r="16" spans="1:11" s="311" customFormat="1" ht="13.5" thickBot="1">
      <c r="A16" s="339"/>
      <c r="B16" s="340"/>
      <c r="C16" s="341"/>
      <c r="D16" s="342"/>
      <c r="E16" s="343"/>
      <c r="F16" s="343"/>
      <c r="G16" s="343"/>
      <c r="H16" s="343"/>
      <c r="I16" s="344"/>
    </row>
    <row r="17" spans="1:9" ht="13.5" thickBot="1">
      <c r="A17" s="270">
        <v>6</v>
      </c>
      <c r="B17" s="286" t="s">
        <v>44</v>
      </c>
      <c r="C17" s="272"/>
      <c r="D17" s="301">
        <v>208300</v>
      </c>
      <c r="E17" s="274">
        <v>0</v>
      </c>
      <c r="F17" s="275">
        <v>0</v>
      </c>
      <c r="G17" s="276">
        <v>0</v>
      </c>
      <c r="H17" s="276">
        <v>0</v>
      </c>
      <c r="I17" s="278">
        <f>SUM(D17:H17)</f>
        <v>208300</v>
      </c>
    </row>
    <row r="18" spans="1:9" s="311" customFormat="1" ht="13.5" thickBot="1">
      <c r="A18" s="339"/>
      <c r="B18" s="303"/>
      <c r="C18" s="345"/>
      <c r="D18" s="346"/>
      <c r="E18" s="347"/>
      <c r="F18" s="347"/>
      <c r="G18" s="347"/>
      <c r="H18" s="347"/>
      <c r="I18" s="348"/>
    </row>
    <row r="19" spans="1:9" s="311" customFormat="1" ht="13.5" thickBot="1">
      <c r="A19" s="336">
        <v>7</v>
      </c>
      <c r="B19" s="349" t="s">
        <v>43</v>
      </c>
      <c r="C19" s="329"/>
      <c r="D19" s="350">
        <v>0</v>
      </c>
      <c r="E19" s="351">
        <v>0</v>
      </c>
      <c r="F19" s="350">
        <v>44600</v>
      </c>
      <c r="G19" s="351">
        <v>0</v>
      </c>
      <c r="H19" s="350">
        <v>110000</v>
      </c>
      <c r="I19" s="338">
        <f>SUM(D19:H19)</f>
        <v>154600</v>
      </c>
    </row>
    <row r="20" spans="1:9" s="152" customFormat="1" ht="13.5" thickBot="1">
      <c r="A20" s="352"/>
      <c r="B20" s="353"/>
      <c r="C20" s="354"/>
      <c r="D20" s="355"/>
      <c r="E20" s="356"/>
      <c r="F20" s="357"/>
      <c r="G20" s="356"/>
      <c r="H20" s="356"/>
      <c r="I20" s="358"/>
    </row>
    <row r="21" spans="1:9" ht="13.5" thickBot="1">
      <c r="A21" s="270">
        <v>8</v>
      </c>
      <c r="B21" s="286" t="s">
        <v>42</v>
      </c>
      <c r="C21" s="272"/>
      <c r="D21" s="301">
        <f>ROUND((133100*1.02)+4150,-2)</f>
        <v>139900</v>
      </c>
      <c r="E21" s="301">
        <v>0</v>
      </c>
      <c r="F21" s="275">
        <v>0</v>
      </c>
      <c r="G21" s="277">
        <v>0</v>
      </c>
      <c r="H21" s="277">
        <v>72000</v>
      </c>
      <c r="I21" s="278">
        <f>SUM(D21:H21)</f>
        <v>211900</v>
      </c>
    </row>
    <row r="22" spans="1:9" ht="13.5" thickBot="1">
      <c r="A22" s="359"/>
      <c r="B22" s="360"/>
      <c r="C22" s="361"/>
      <c r="D22" s="362"/>
      <c r="E22" s="363"/>
      <c r="F22" s="363"/>
      <c r="G22" s="363"/>
      <c r="H22" s="363"/>
      <c r="I22" s="364"/>
    </row>
    <row r="23" spans="1:9" s="311" customFormat="1" ht="13.5" thickBot="1">
      <c r="A23" s="365">
        <v>9</v>
      </c>
      <c r="B23" s="366" t="s">
        <v>70</v>
      </c>
      <c r="C23" s="272"/>
      <c r="D23" s="367">
        <f>ROUND((62500*1.02)+1950-21700,-2)</f>
        <v>44000</v>
      </c>
      <c r="E23" s="205"/>
      <c r="F23" s="236">
        <f>ROUND((4900*1.02)+116.55,-2)</f>
        <v>5100</v>
      </c>
      <c r="G23" s="205"/>
      <c r="H23" s="205">
        <v>102500</v>
      </c>
      <c r="I23" s="368">
        <f>SUM(D23:H23)</f>
        <v>151600</v>
      </c>
    </row>
    <row r="24" spans="1:9" ht="13.5" thickBot="1">
      <c r="A24" s="369"/>
      <c r="B24" s="370"/>
      <c r="C24" s="370"/>
      <c r="D24" s="371"/>
      <c r="E24" s="371"/>
      <c r="F24" s="371"/>
      <c r="G24" s="371"/>
      <c r="H24" s="371"/>
      <c r="I24" s="372"/>
    </row>
    <row r="25" spans="1:9" ht="13.5" thickBot="1">
      <c r="A25" s="270">
        <v>10</v>
      </c>
      <c r="B25" s="286" t="s">
        <v>71</v>
      </c>
      <c r="C25" s="272"/>
      <c r="D25" s="301">
        <v>125000</v>
      </c>
      <c r="E25" s="274">
        <v>0</v>
      </c>
      <c r="F25" s="373">
        <v>0</v>
      </c>
      <c r="G25" s="276">
        <v>0</v>
      </c>
      <c r="H25" s="276">
        <v>0</v>
      </c>
      <c r="I25" s="278">
        <f>SUM(D25:H25)</f>
        <v>125000</v>
      </c>
    </row>
    <row r="26" spans="1:9" s="152" customFormat="1" ht="13.5" thickBot="1">
      <c r="A26" s="374"/>
      <c r="B26" s="375"/>
      <c r="C26" s="376" t="s">
        <v>72</v>
      </c>
      <c r="D26" s="377">
        <f t="shared" ref="D26:I26" si="2">D4+D6+D13+D9+D19+D15+D17+D23+D21+D25+D29+D30</f>
        <v>3591400</v>
      </c>
      <c r="E26" s="378">
        <f t="shared" si="2"/>
        <v>315600</v>
      </c>
      <c r="F26" s="378">
        <f t="shared" si="2"/>
        <v>6468171</v>
      </c>
      <c r="G26" s="378">
        <f t="shared" si="2"/>
        <v>0</v>
      </c>
      <c r="H26" s="378">
        <f t="shared" si="2"/>
        <v>2250092</v>
      </c>
      <c r="I26" s="379">
        <f t="shared" si="2"/>
        <v>12625263</v>
      </c>
    </row>
    <row r="27" spans="1:9" ht="13.5" thickBot="1">
      <c r="A27" s="380"/>
      <c r="B27" s="370"/>
    </row>
    <row r="28" spans="1:9" ht="13.5" thickBot="1">
      <c r="A28" s="383" t="s">
        <v>73</v>
      </c>
      <c r="B28" s="384"/>
      <c r="C28" s="385"/>
      <c r="D28" s="386">
        <f>SUM(D29:D32)</f>
        <v>0</v>
      </c>
      <c r="E28" s="386">
        <f>SUM(E29:E32)</f>
        <v>0</v>
      </c>
      <c r="F28" s="387">
        <f>SUM(F29:F32)</f>
        <v>233700</v>
      </c>
      <c r="G28" s="386">
        <f>SUM(G29:G32)</f>
        <v>0</v>
      </c>
      <c r="H28" s="387">
        <f>SUM(H29:H32)</f>
        <v>9900</v>
      </c>
      <c r="I28" s="388">
        <f t="shared" ref="I28:I32" si="3">SUM(D28:H28)</f>
        <v>243600</v>
      </c>
    </row>
    <row r="29" spans="1:9" s="311" customFormat="1">
      <c r="A29" s="389"/>
      <c r="B29" s="390"/>
      <c r="C29" s="391" t="s">
        <v>38</v>
      </c>
      <c r="D29" s="392">
        <v>0</v>
      </c>
      <c r="E29" s="393">
        <v>0</v>
      </c>
      <c r="F29" s="393">
        <v>141400</v>
      </c>
      <c r="G29" s="393">
        <v>0</v>
      </c>
      <c r="H29" s="393">
        <v>0</v>
      </c>
      <c r="I29" s="394">
        <f t="shared" si="3"/>
        <v>141400</v>
      </c>
    </row>
    <row r="30" spans="1:9" s="311" customFormat="1">
      <c r="A30" s="389"/>
      <c r="B30" s="390"/>
      <c r="C30" s="395" t="s">
        <v>45</v>
      </c>
      <c r="D30" s="396">
        <v>0</v>
      </c>
      <c r="E30" s="397">
        <v>0</v>
      </c>
      <c r="F30" s="397">
        <v>62000</v>
      </c>
      <c r="G30" s="397">
        <v>0</v>
      </c>
      <c r="H30" s="397">
        <v>0</v>
      </c>
      <c r="I30" s="398">
        <f t="shared" si="3"/>
        <v>62000</v>
      </c>
    </row>
    <row r="31" spans="1:9" s="311" customFormat="1">
      <c r="A31" s="389"/>
      <c r="B31" s="390"/>
      <c r="C31" s="395" t="s">
        <v>28</v>
      </c>
      <c r="D31" s="396">
        <v>0</v>
      </c>
      <c r="E31" s="397">
        <v>0</v>
      </c>
      <c r="F31" s="397">
        <v>30300</v>
      </c>
      <c r="G31" s="397">
        <v>0</v>
      </c>
      <c r="H31" s="397">
        <v>0</v>
      </c>
      <c r="I31" s="398">
        <f t="shared" si="3"/>
        <v>30300</v>
      </c>
    </row>
    <row r="32" spans="1:9" s="152" customFormat="1" ht="13.5" thickBot="1">
      <c r="A32" s="380"/>
      <c r="B32" s="399"/>
      <c r="C32" s="400" t="s">
        <v>27</v>
      </c>
      <c r="D32" s="401">
        <v>0</v>
      </c>
      <c r="E32" s="402">
        <v>0</v>
      </c>
      <c r="F32" s="402">
        <v>0</v>
      </c>
      <c r="G32" s="402">
        <v>0</v>
      </c>
      <c r="H32" s="402">
        <v>9900</v>
      </c>
      <c r="I32" s="403">
        <f t="shared" si="3"/>
        <v>9900</v>
      </c>
    </row>
    <row r="33" spans="1:12" ht="13.5" thickBot="1">
      <c r="A33" s="380"/>
      <c r="B33" s="370"/>
      <c r="C33" s="370"/>
      <c r="D33" s="371"/>
      <c r="E33" s="371"/>
      <c r="F33" s="371"/>
      <c r="G33" s="371"/>
      <c r="H33" s="371"/>
      <c r="I33" s="372"/>
    </row>
    <row r="34" spans="1:12" s="152" customFormat="1" ht="13.5" thickBot="1">
      <c r="A34" s="404">
        <v>1</v>
      </c>
      <c r="B34" s="405" t="s">
        <v>34</v>
      </c>
      <c r="C34" s="406"/>
      <c r="D34" s="407">
        <f>ROUND(23300+728,-2)</f>
        <v>24000</v>
      </c>
      <c r="E34" s="408">
        <v>0</v>
      </c>
      <c r="F34" s="407">
        <v>430200</v>
      </c>
      <c r="G34" s="409">
        <v>0</v>
      </c>
      <c r="H34" s="410">
        <v>0</v>
      </c>
      <c r="I34" s="411">
        <f>SUM(D34:H34)</f>
        <v>454200</v>
      </c>
    </row>
    <row r="35" spans="1:12" ht="13.5" thickBot="1">
      <c r="A35" s="380"/>
      <c r="B35" s="370"/>
      <c r="C35" s="370"/>
      <c r="D35" s="371"/>
      <c r="E35" s="371"/>
      <c r="F35" s="371"/>
      <c r="G35" s="371"/>
      <c r="H35" s="371"/>
      <c r="I35" s="372"/>
    </row>
    <row r="36" spans="1:12" s="152" customFormat="1" ht="13.5" thickBot="1">
      <c r="A36" s="404">
        <v>2</v>
      </c>
      <c r="B36" s="405" t="s">
        <v>35</v>
      </c>
      <c r="C36" s="406"/>
      <c r="D36" s="407">
        <f>ROUND(116400,-2)</f>
        <v>116400</v>
      </c>
      <c r="E36" s="408">
        <v>0</v>
      </c>
      <c r="F36" s="410">
        <f>384300-13000</f>
        <v>371300</v>
      </c>
      <c r="G36" s="409">
        <v>0</v>
      </c>
      <c r="H36" s="409">
        <v>0</v>
      </c>
      <c r="I36" s="411">
        <f>SUM(D36:H36)</f>
        <v>487700</v>
      </c>
    </row>
    <row r="37" spans="1:12" ht="13.5" thickBot="1">
      <c r="A37" s="380"/>
      <c r="B37" s="370"/>
      <c r="C37" s="370"/>
      <c r="D37" s="371"/>
      <c r="E37" s="371"/>
      <c r="F37" s="371"/>
      <c r="G37" s="371"/>
      <c r="H37" s="371"/>
      <c r="I37" s="372"/>
    </row>
    <row r="38" spans="1:12" ht="13.5" thickBot="1">
      <c r="A38" s="412">
        <v>3</v>
      </c>
      <c r="B38" s="413" t="s">
        <v>33</v>
      </c>
      <c r="C38" s="414"/>
      <c r="D38" s="415">
        <f>26800+54000</f>
        <v>80800</v>
      </c>
      <c r="E38" s="416"/>
      <c r="F38" s="417">
        <f>54000-54000</f>
        <v>0</v>
      </c>
      <c r="G38" s="418">
        <v>0</v>
      </c>
      <c r="H38" s="418">
        <v>19200</v>
      </c>
      <c r="I38" s="419">
        <f>SUM(D38:H38)</f>
        <v>100000</v>
      </c>
    </row>
    <row r="39" spans="1:12" ht="13.5" thickBot="1">
      <c r="A39" s="380"/>
      <c r="B39" s="370"/>
      <c r="C39" s="370"/>
      <c r="D39" s="371"/>
      <c r="E39" s="371"/>
      <c r="F39" s="371"/>
      <c r="G39" s="371"/>
      <c r="H39" s="371"/>
      <c r="I39" s="372"/>
    </row>
    <row r="40" spans="1:12" ht="13.5" thickBot="1">
      <c r="A40" s="420">
        <v>4</v>
      </c>
      <c r="B40" s="150" t="s">
        <v>30</v>
      </c>
      <c r="C40" s="421"/>
      <c r="D40" s="417">
        <f t="shared" ref="D40:I40" si="4">SUM(D41:D44)</f>
        <v>551100</v>
      </c>
      <c r="E40" s="417">
        <f t="shared" si="4"/>
        <v>0</v>
      </c>
      <c r="F40" s="417">
        <f t="shared" si="4"/>
        <v>107700</v>
      </c>
      <c r="G40" s="417">
        <f t="shared" si="4"/>
        <v>0</v>
      </c>
      <c r="H40" s="417">
        <f t="shared" si="4"/>
        <v>0</v>
      </c>
      <c r="I40" s="422">
        <f t="shared" si="4"/>
        <v>658800</v>
      </c>
    </row>
    <row r="41" spans="1:12">
      <c r="A41" s="374"/>
      <c r="B41" s="423"/>
      <c r="C41" s="424" t="s">
        <v>29</v>
      </c>
      <c r="D41" s="425">
        <f>91900+5600</f>
        <v>97500</v>
      </c>
      <c r="E41" s="425">
        <v>0</v>
      </c>
      <c r="F41" s="426">
        <v>0</v>
      </c>
      <c r="G41" s="427">
        <v>0</v>
      </c>
      <c r="H41" s="427">
        <v>0</v>
      </c>
      <c r="I41" s="428">
        <f>SUM(D41:H41)</f>
        <v>97500</v>
      </c>
    </row>
    <row r="42" spans="1:12" s="152" customFormat="1">
      <c r="A42" s="429"/>
      <c r="B42" s="430"/>
      <c r="C42" s="431" t="s">
        <v>28</v>
      </c>
      <c r="D42" s="432">
        <f>ROUND((27100*1.08)+915,-2)</f>
        <v>30200</v>
      </c>
      <c r="E42" s="432">
        <v>0</v>
      </c>
      <c r="F42" s="433">
        <v>107700</v>
      </c>
      <c r="G42" s="434">
        <v>0</v>
      </c>
      <c r="H42" s="434"/>
      <c r="I42" s="435">
        <f>SUM(D42:H42)</f>
        <v>137900</v>
      </c>
    </row>
    <row r="43" spans="1:12">
      <c r="A43" s="429"/>
      <c r="B43" s="430"/>
      <c r="C43" s="424" t="s">
        <v>27</v>
      </c>
      <c r="D43" s="436">
        <v>285500</v>
      </c>
      <c r="E43" s="436">
        <v>0</v>
      </c>
      <c r="F43" s="436">
        <v>0</v>
      </c>
      <c r="G43" s="437">
        <v>0</v>
      </c>
      <c r="H43" s="437"/>
      <c r="I43" s="435">
        <f>SUM(D43:H43)</f>
        <v>285500</v>
      </c>
    </row>
    <row r="44" spans="1:12" ht="13.5" thickBot="1">
      <c r="A44" s="438"/>
      <c r="B44" s="439"/>
      <c r="C44" s="440" t="s">
        <v>26</v>
      </c>
      <c r="D44" s="362">
        <v>137900</v>
      </c>
      <c r="E44" s="362">
        <v>0</v>
      </c>
      <c r="F44" s="402">
        <v>0</v>
      </c>
      <c r="G44" s="441">
        <v>0</v>
      </c>
      <c r="H44" s="441"/>
      <c r="I44" s="403">
        <f>SUM(D44:H44)</f>
        <v>137900</v>
      </c>
    </row>
    <row r="45" spans="1:12" ht="13.5" thickBot="1">
      <c r="A45" s="352"/>
      <c r="B45" s="370"/>
      <c r="C45" s="370"/>
      <c r="D45" s="442"/>
      <c r="E45" s="443"/>
      <c r="F45" s="443"/>
      <c r="G45" s="443"/>
      <c r="H45" s="443"/>
      <c r="I45" s="444"/>
    </row>
    <row r="46" spans="1:12" ht="13.5" thickBot="1">
      <c r="A46" s="445">
        <v>5</v>
      </c>
      <c r="B46" s="446" t="s">
        <v>32</v>
      </c>
      <c r="C46" s="406"/>
      <c r="D46" s="447">
        <f t="shared" ref="D46:I46" si="5">SUM(D47:D48)</f>
        <v>0</v>
      </c>
      <c r="E46" s="447">
        <f t="shared" si="5"/>
        <v>0</v>
      </c>
      <c r="F46" s="447">
        <f t="shared" si="5"/>
        <v>108300</v>
      </c>
      <c r="G46" s="447">
        <f t="shared" si="5"/>
        <v>0</v>
      </c>
      <c r="H46" s="447">
        <f t="shared" si="5"/>
        <v>0</v>
      </c>
      <c r="I46" s="448">
        <f t="shared" si="5"/>
        <v>108300</v>
      </c>
    </row>
    <row r="47" spans="1:12" s="152" customFormat="1">
      <c r="A47" s="374"/>
      <c r="B47" s="423"/>
      <c r="C47" s="449" t="s">
        <v>31</v>
      </c>
      <c r="D47" s="425">
        <v>0</v>
      </c>
      <c r="E47" s="425">
        <v>0</v>
      </c>
      <c r="F47" s="426">
        <v>108300</v>
      </c>
      <c r="G47" s="426">
        <v>0</v>
      </c>
      <c r="H47" s="426">
        <v>0</v>
      </c>
      <c r="I47" s="450">
        <f>SUM(D47:H47)</f>
        <v>108300</v>
      </c>
      <c r="L47" s="451"/>
    </row>
    <row r="48" spans="1:12" ht="13.5" thickBot="1">
      <c r="A48" s="359"/>
      <c r="B48" s="439"/>
      <c r="C48" s="452" t="s">
        <v>74</v>
      </c>
      <c r="D48" s="362">
        <v>0</v>
      </c>
      <c r="E48" s="362">
        <v>0</v>
      </c>
      <c r="F48" s="363">
        <v>0</v>
      </c>
      <c r="G48" s="441">
        <v>0</v>
      </c>
      <c r="H48" s="441">
        <v>0</v>
      </c>
      <c r="I48" s="403">
        <f>SUM(D48:H48)</f>
        <v>0</v>
      </c>
    </row>
    <row r="49" spans="1:9" ht="13.5" thickBot="1">
      <c r="A49" s="352"/>
      <c r="B49" s="453"/>
      <c r="C49" s="454"/>
      <c r="D49" s="455"/>
      <c r="E49" s="455"/>
      <c r="F49" s="356"/>
      <c r="G49" s="456"/>
      <c r="H49" s="456"/>
      <c r="I49" s="457"/>
    </row>
    <row r="50" spans="1:9" ht="13.5" thickBot="1">
      <c r="A50" s="404">
        <v>6</v>
      </c>
      <c r="B50" s="458" t="s">
        <v>75</v>
      </c>
      <c r="C50" s="459"/>
      <c r="D50" s="460">
        <v>88400</v>
      </c>
      <c r="E50" s="416"/>
      <c r="F50" s="416"/>
      <c r="G50" s="416"/>
      <c r="H50" s="416"/>
      <c r="I50" s="411">
        <f>SUM(D50:H50)</f>
        <v>88400</v>
      </c>
    </row>
    <row r="51" spans="1:9" ht="13.5" thickBot="1">
      <c r="A51" s="369"/>
      <c r="B51" s="439"/>
      <c r="C51" s="461"/>
      <c r="D51" s="371"/>
      <c r="E51" s="371"/>
      <c r="F51" s="371"/>
      <c r="G51" s="371"/>
      <c r="H51" s="371"/>
      <c r="I51" s="372"/>
    </row>
    <row r="52" spans="1:9" s="152" customFormat="1" ht="13.5" thickBot="1">
      <c r="A52" s="404">
        <v>7</v>
      </c>
      <c r="B52" s="405" t="s">
        <v>76</v>
      </c>
      <c r="C52" s="406"/>
      <c r="D52" s="407">
        <v>0</v>
      </c>
      <c r="E52" s="407">
        <v>0</v>
      </c>
      <c r="F52" s="460">
        <f>ROUND(139700+3256.35,-2)</f>
        <v>143000</v>
      </c>
      <c r="G52" s="410">
        <v>0</v>
      </c>
      <c r="H52" s="410">
        <v>75800</v>
      </c>
      <c r="I52" s="411">
        <f>SUM(D52:H52)</f>
        <v>218800</v>
      </c>
    </row>
    <row r="53" spans="1:9" ht="13.5" thickBot="1">
      <c r="A53" s="352"/>
      <c r="B53" s="354"/>
      <c r="C53" s="354"/>
      <c r="D53" s="443"/>
      <c r="E53" s="443"/>
      <c r="F53" s="443"/>
      <c r="G53" s="455"/>
      <c r="H53" s="443"/>
      <c r="I53" s="444"/>
    </row>
    <row r="54" spans="1:9" s="126" customFormat="1" ht="13.5" thickBot="1">
      <c r="A54" s="420">
        <v>8</v>
      </c>
      <c r="B54" s="446" t="s">
        <v>77</v>
      </c>
      <c r="C54" s="421"/>
      <c r="D54" s="417">
        <f>ROUND(158800-10110,-2)</f>
        <v>148700</v>
      </c>
      <c r="E54" s="417">
        <v>0</v>
      </c>
      <c r="F54" s="418">
        <v>0</v>
      </c>
      <c r="G54" s="417">
        <f>ROUND(61463,-2)</f>
        <v>61500</v>
      </c>
      <c r="H54" s="462">
        <f>14886-14886</f>
        <v>0</v>
      </c>
      <c r="I54" s="419">
        <f>SUM(D54:H54)</f>
        <v>210200</v>
      </c>
    </row>
    <row r="55" spans="1:9" ht="13.5" thickBot="1">
      <c r="A55" s="352"/>
      <c r="B55" s="354"/>
      <c r="C55" s="354"/>
      <c r="D55" s="443"/>
      <c r="E55" s="443"/>
      <c r="F55" s="443"/>
      <c r="G55" s="443"/>
      <c r="H55" s="443"/>
      <c r="I55" s="444"/>
    </row>
    <row r="56" spans="1:9" ht="13.5" thickBot="1">
      <c r="A56" s="420">
        <v>9</v>
      </c>
      <c r="B56" s="446" t="s">
        <v>23</v>
      </c>
      <c r="C56" s="421"/>
      <c r="D56" s="417">
        <v>116900</v>
      </c>
      <c r="E56" s="417">
        <v>0</v>
      </c>
      <c r="F56" s="417">
        <v>0</v>
      </c>
      <c r="G56" s="417">
        <v>0</v>
      </c>
      <c r="H56" s="417">
        <v>39900</v>
      </c>
      <c r="I56" s="422">
        <f>SUM(D56:H56)</f>
        <v>156800</v>
      </c>
    </row>
    <row r="57" spans="1:9" ht="13.5" thickBot="1">
      <c r="A57" s="352"/>
      <c r="B57" s="354"/>
      <c r="C57" s="354"/>
      <c r="D57" s="443"/>
      <c r="E57" s="443"/>
      <c r="F57" s="443"/>
      <c r="G57" s="443"/>
      <c r="H57" s="443"/>
      <c r="I57" s="444"/>
    </row>
    <row r="58" spans="1:9" s="152" customFormat="1" ht="13.5" thickBot="1">
      <c r="A58" s="404">
        <v>10</v>
      </c>
      <c r="B58" s="405" t="s">
        <v>21</v>
      </c>
      <c r="C58" s="406"/>
      <c r="D58" s="407">
        <v>96800</v>
      </c>
      <c r="E58" s="407">
        <v>0</v>
      </c>
      <c r="F58" s="410">
        <f>ROUND((7200*1.02)+170.16,-2)</f>
        <v>7500</v>
      </c>
      <c r="G58" s="410">
        <v>0</v>
      </c>
      <c r="H58" s="410">
        <v>0</v>
      </c>
      <c r="I58" s="411">
        <f>SUM(D58:H58)</f>
        <v>104300</v>
      </c>
    </row>
    <row r="59" spans="1:9" ht="13.5" thickBot="1">
      <c r="A59" s="359"/>
      <c r="B59" s="463"/>
      <c r="C59" s="464"/>
      <c r="D59" s="465"/>
      <c r="E59" s="465"/>
      <c r="F59" s="465"/>
      <c r="G59" s="465"/>
      <c r="H59" s="465"/>
      <c r="I59" s="466"/>
    </row>
    <row r="60" spans="1:9" s="126" customFormat="1" ht="13.5" thickBot="1">
      <c r="A60" s="420">
        <v>11</v>
      </c>
      <c r="B60" s="446" t="s">
        <v>20</v>
      </c>
      <c r="C60" s="421"/>
      <c r="D60" s="417">
        <f>ROUND(1800+56,-2)</f>
        <v>1900</v>
      </c>
      <c r="E60" s="417"/>
      <c r="F60" s="417">
        <v>3900</v>
      </c>
      <c r="G60" s="462"/>
      <c r="H60" s="462"/>
      <c r="I60" s="419">
        <f>SUM(D60:H60)</f>
        <v>5800</v>
      </c>
    </row>
    <row r="61" spans="1:9" ht="13.5" thickBot="1">
      <c r="A61" s="467"/>
      <c r="B61" s="464"/>
      <c r="C61" s="468" t="s">
        <v>78</v>
      </c>
      <c r="D61" s="469">
        <f>D31+D32+D40+D34+D36+D38+D46+D50+D52+D58+D56+D54+D60</f>
        <v>1225000</v>
      </c>
      <c r="E61" s="469">
        <f t="shared" ref="E61:I61" si="6">E31+E32+E40+E34+E36+E38+E46+E50+E52+E58+E56+E54+E60</f>
        <v>0</v>
      </c>
      <c r="F61" s="469">
        <f t="shared" si="6"/>
        <v>1202200</v>
      </c>
      <c r="G61" s="469">
        <f t="shared" si="6"/>
        <v>61500</v>
      </c>
      <c r="H61" s="469">
        <f t="shared" si="6"/>
        <v>144800</v>
      </c>
      <c r="I61" s="469">
        <f t="shared" si="6"/>
        <v>2633500</v>
      </c>
    </row>
    <row r="62" spans="1:9" ht="13.5" thickBot="1">
      <c r="A62" s="470"/>
      <c r="B62" s="471"/>
    </row>
    <row r="63" spans="1:9">
      <c r="A63" s="72"/>
      <c r="B63" s="71"/>
      <c r="C63" s="472" t="s">
        <v>17</v>
      </c>
      <c r="D63" s="473">
        <f>D26+D61</f>
        <v>4816400</v>
      </c>
      <c r="E63" s="474">
        <f>E26+E61</f>
        <v>315600</v>
      </c>
      <c r="F63" s="474">
        <f>F26+F61-F4</f>
        <v>1694300</v>
      </c>
      <c r="G63" s="474">
        <f>G26+G61</f>
        <v>61500</v>
      </c>
      <c r="H63" s="474">
        <f>H26+H61</f>
        <v>2394892</v>
      </c>
      <c r="I63" s="475">
        <f>I26+I61</f>
        <v>15258763</v>
      </c>
    </row>
    <row r="64" spans="1:9">
      <c r="A64" s="63"/>
      <c r="B64" s="62"/>
      <c r="C64" s="61" t="s">
        <v>16</v>
      </c>
      <c r="D64" s="476">
        <v>361583</v>
      </c>
      <c r="E64" s="476">
        <v>16185</v>
      </c>
      <c r="F64" s="437">
        <v>191602</v>
      </c>
      <c r="G64" s="477"/>
      <c r="H64" s="477"/>
      <c r="I64" s="478">
        <f>SUM(D64:H64)</f>
        <v>569370</v>
      </c>
    </row>
    <row r="65" spans="1:12">
      <c r="A65" s="63" t="s">
        <v>15</v>
      </c>
      <c r="B65" s="62"/>
      <c r="C65" s="61" t="s">
        <v>79</v>
      </c>
      <c r="D65" s="476">
        <v>155659</v>
      </c>
      <c r="E65" s="476">
        <v>7726</v>
      </c>
      <c r="F65" s="479">
        <v>76556</v>
      </c>
      <c r="G65" s="477"/>
      <c r="H65" s="477"/>
      <c r="I65" s="478">
        <f>SUM(D65:H65)</f>
        <v>239941</v>
      </c>
    </row>
    <row r="66" spans="1:12">
      <c r="A66" s="63"/>
      <c r="B66" s="62"/>
      <c r="C66" s="480" t="s">
        <v>80</v>
      </c>
      <c r="D66" s="476">
        <v>216796</v>
      </c>
      <c r="E66" s="476">
        <v>13109</v>
      </c>
      <c r="F66" s="479">
        <v>11649</v>
      </c>
      <c r="G66" s="477"/>
      <c r="H66" s="477"/>
      <c r="I66" s="478">
        <f>SUM(D66:H66)</f>
        <v>241554</v>
      </c>
    </row>
    <row r="67" spans="1:12" ht="13.5" thickBot="1">
      <c r="A67" s="54"/>
      <c r="B67" s="53"/>
      <c r="C67" s="481" t="s">
        <v>12</v>
      </c>
      <c r="D67" s="482">
        <f t="shared" ref="D67:I67" si="7">SUM(D63:D66)</f>
        <v>5550438</v>
      </c>
      <c r="E67" s="482">
        <f t="shared" si="7"/>
        <v>352620</v>
      </c>
      <c r="F67" s="482">
        <f t="shared" si="7"/>
        <v>1974107</v>
      </c>
      <c r="G67" s="482">
        <f t="shared" si="7"/>
        <v>61500</v>
      </c>
      <c r="H67" s="482">
        <f t="shared" si="7"/>
        <v>2394892</v>
      </c>
      <c r="I67" s="483">
        <f t="shared" si="7"/>
        <v>16309628</v>
      </c>
    </row>
    <row r="68" spans="1:12" ht="13.5" thickBot="1">
      <c r="A68" s="549"/>
      <c r="B68" s="550"/>
      <c r="C68" s="551"/>
      <c r="D68" s="484"/>
      <c r="E68" s="485"/>
      <c r="F68" s="485"/>
      <c r="G68" s="485"/>
      <c r="H68" s="485"/>
      <c r="I68" s="485"/>
      <c r="L68" s="3"/>
    </row>
    <row r="69" spans="1:12" ht="13.5" thickBot="1">
      <c r="A69" s="486"/>
      <c r="B69" s="487" t="s">
        <v>81</v>
      </c>
      <c r="C69" s="488" t="s">
        <v>82</v>
      </c>
      <c r="D69" s="489">
        <v>5550438</v>
      </c>
      <c r="E69" s="490"/>
      <c r="F69" s="491"/>
      <c r="G69" s="492"/>
      <c r="H69" s="492"/>
      <c r="I69" s="493">
        <f>SUM(D69:H69)</f>
        <v>5550438</v>
      </c>
    </row>
    <row r="70" spans="1:12">
      <c r="B70" s="494" t="s">
        <v>15</v>
      </c>
      <c r="C70" s="495" t="s">
        <v>83</v>
      </c>
      <c r="D70" s="496"/>
      <c r="E70" s="497">
        <v>352620</v>
      </c>
      <c r="F70" s="497"/>
      <c r="G70" s="497"/>
      <c r="H70" s="497"/>
      <c r="I70" s="498">
        <f>SUM(D70:H70)</f>
        <v>352620</v>
      </c>
    </row>
    <row r="71" spans="1:12">
      <c r="B71" s="494"/>
      <c r="C71" s="495" t="s">
        <v>84</v>
      </c>
      <c r="D71" s="496"/>
      <c r="E71" s="497"/>
      <c r="F71" s="497"/>
      <c r="G71" s="497"/>
      <c r="H71" s="497"/>
      <c r="I71" s="498"/>
      <c r="L71" s="3"/>
    </row>
    <row r="72" spans="1:12">
      <c r="B72" s="499"/>
      <c r="C72" s="500" t="s">
        <v>85</v>
      </c>
      <c r="D72" s="496"/>
      <c r="E72" s="497"/>
      <c r="F72" s="497">
        <v>1974107</v>
      </c>
      <c r="G72" s="497"/>
      <c r="H72" s="497"/>
      <c r="I72" s="498">
        <f>SUM(D72:H72)</f>
        <v>1974107</v>
      </c>
    </row>
    <row r="73" spans="1:12">
      <c r="B73" s="499"/>
      <c r="C73" s="500" t="s">
        <v>86</v>
      </c>
      <c r="D73" s="496"/>
      <c r="E73" s="497"/>
      <c r="F73" s="497">
        <v>5976071</v>
      </c>
      <c r="G73" s="497"/>
      <c r="H73" s="497"/>
      <c r="I73" s="498">
        <f>SUM(D73:H73)</f>
        <v>5976071</v>
      </c>
    </row>
    <row r="74" spans="1:12">
      <c r="B74" s="499"/>
      <c r="C74" s="500" t="s">
        <v>4</v>
      </c>
      <c r="D74" s="496"/>
      <c r="E74" s="497"/>
      <c r="F74" s="497"/>
      <c r="G74" s="497">
        <v>61463</v>
      </c>
      <c r="H74" s="497"/>
      <c r="I74" s="498">
        <f>SUM(D74:H74)</f>
        <v>61463</v>
      </c>
      <c r="L74" s="3"/>
    </row>
    <row r="75" spans="1:12">
      <c r="B75" s="499"/>
      <c r="C75" s="500" t="s">
        <v>87</v>
      </c>
      <c r="D75" s="496"/>
      <c r="E75" s="497"/>
      <c r="F75" s="497"/>
      <c r="G75" s="497"/>
      <c r="H75" s="497"/>
      <c r="I75" s="498"/>
    </row>
    <row r="76" spans="1:12">
      <c r="B76" s="499"/>
      <c r="C76" s="501" t="s">
        <v>88</v>
      </c>
      <c r="D76" s="496"/>
      <c r="E76" s="497"/>
      <c r="F76" s="497"/>
      <c r="G76" s="497"/>
      <c r="H76" s="497">
        <v>2394878</v>
      </c>
      <c r="I76" s="498">
        <f>SUM(D76:H76)</f>
        <v>2394878</v>
      </c>
    </row>
    <row r="77" spans="1:12" s="506" customFormat="1" ht="15.75" thickBot="1">
      <c r="A77" s="381"/>
      <c r="B77" s="381"/>
      <c r="C77" s="502" t="s">
        <v>89</v>
      </c>
      <c r="D77" s="503">
        <f>SUM(D69:D76)</f>
        <v>5550438</v>
      </c>
      <c r="E77" s="503">
        <f>SUM(E69:E76)</f>
        <v>352620</v>
      </c>
      <c r="F77" s="504">
        <f>SUM(F69:F72)</f>
        <v>1974107</v>
      </c>
      <c r="G77" s="504">
        <f>SUM(G69:G76)</f>
        <v>61463</v>
      </c>
      <c r="H77" s="504">
        <f>SUM(H69:H76)</f>
        <v>2394878</v>
      </c>
      <c r="I77" s="505">
        <f>SUM(I69:I76)</f>
        <v>16309577</v>
      </c>
    </row>
    <row r="78" spans="1:12" s="506" customFormat="1" ht="15.75" thickBot="1">
      <c r="A78" s="381"/>
      <c r="B78" s="381"/>
      <c r="C78" s="507" t="s">
        <v>90</v>
      </c>
      <c r="D78" s="508">
        <f t="shared" ref="D78:I78" si="8">D77-D64-D65-D66</f>
        <v>4816400</v>
      </c>
      <c r="E78" s="509">
        <f t="shared" si="8"/>
        <v>315600</v>
      </c>
      <c r="F78" s="509">
        <f t="shared" si="8"/>
        <v>1694300</v>
      </c>
      <c r="G78" s="509">
        <f t="shared" si="8"/>
        <v>61463</v>
      </c>
      <c r="H78" s="509">
        <f t="shared" si="8"/>
        <v>2394878</v>
      </c>
      <c r="I78" s="510">
        <f t="shared" si="8"/>
        <v>15258712</v>
      </c>
    </row>
    <row r="79" spans="1:12" s="506" customFormat="1" ht="15">
      <c r="A79" s="381"/>
      <c r="B79" s="381"/>
      <c r="C79" s="511" t="s">
        <v>91</v>
      </c>
      <c r="D79" s="512">
        <f t="shared" ref="D79:I79" si="9">D77-D67</f>
        <v>0</v>
      </c>
      <c r="E79" s="512">
        <f t="shared" si="9"/>
        <v>0</v>
      </c>
      <c r="F79" s="512">
        <f t="shared" si="9"/>
        <v>0</v>
      </c>
      <c r="G79" s="512">
        <f t="shared" si="9"/>
        <v>-37</v>
      </c>
      <c r="H79" s="512">
        <f t="shared" si="9"/>
        <v>-14</v>
      </c>
      <c r="I79" s="512">
        <f t="shared" si="9"/>
        <v>-51</v>
      </c>
    </row>
    <row r="80" spans="1:12" s="506" customFormat="1" ht="15">
      <c r="A80" s="381"/>
      <c r="B80" s="381"/>
      <c r="C80" s="381"/>
      <c r="D80" s="382"/>
      <c r="E80" s="382"/>
      <c r="F80" s="382"/>
      <c r="G80" s="382"/>
      <c r="H80" s="513"/>
      <c r="I80" s="382"/>
    </row>
    <row r="81" spans="1:9" s="506" customFormat="1" ht="15">
      <c r="A81" s="381"/>
      <c r="B81" s="381"/>
      <c r="C81" s="381"/>
      <c r="D81" s="514">
        <f>(D26+E26)/(D78+E78)</f>
        <v>0.76130163678877627</v>
      </c>
      <c r="E81" s="515">
        <f>E26/E78</f>
        <v>1</v>
      </c>
      <c r="F81" s="515">
        <f>(F26+F29+F30)/(F78+G78+F4)</f>
        <v>0.86287043927740814</v>
      </c>
      <c r="G81" s="516" t="s">
        <v>92</v>
      </c>
      <c r="H81" s="517" t="s">
        <v>93</v>
      </c>
      <c r="I81" s="518"/>
    </row>
    <row r="82" spans="1:9" s="506" customFormat="1" ht="15">
      <c r="A82" s="381"/>
      <c r="B82" s="381"/>
      <c r="C82" s="381"/>
      <c r="D82" s="519" t="s">
        <v>94</v>
      </c>
      <c r="E82" s="520" t="s">
        <v>95</v>
      </c>
      <c r="F82" s="521">
        <f>(D26+E26+F26)/(D78+E78+F78+G78+F4)</f>
        <v>0.8065380041440211</v>
      </c>
      <c r="G82" s="522" t="s">
        <v>96</v>
      </c>
      <c r="H82" s="523"/>
      <c r="I82" s="382"/>
    </row>
    <row r="84" spans="1:9" s="506" customFormat="1" ht="15">
      <c r="A84" s="381"/>
      <c r="B84" s="381"/>
      <c r="C84" s="381"/>
      <c r="D84" s="524"/>
      <c r="E84" s="524"/>
      <c r="F84" s="525">
        <f>((D26+E26+F26)-F4)/(D78+E78+F78)</f>
        <v>0.64443402721825882</v>
      </c>
      <c r="G84" s="382"/>
      <c r="H84" s="382"/>
      <c r="I84" s="382"/>
    </row>
    <row r="90" spans="1:9">
      <c r="I90" s="382" t="s">
        <v>97</v>
      </c>
    </row>
  </sheetData>
  <mergeCells count="2">
    <mergeCell ref="D1:I2"/>
    <mergeCell ref="A68:C68"/>
  </mergeCells>
  <printOptions horizontalCentered="1"/>
  <pageMargins left="0.32" right="0.46" top="0.73" bottom="0.45" header="0.5" footer="0.26"/>
  <pageSetup scale="81" fitToHeight="2" orientation="landscape" horizontalDpi="4294967294" verticalDpi="4294967294" r:id="rId1"/>
  <headerFooter alignWithMargins="0">
    <oddHeader>&amp;C&amp;"Arial,Bold"&amp;12FY2016 Part A, Part B and ADAP Rebate Application Allocations (August 2016)</oddHeader>
    <oddFooter>&amp;R&amp;8&amp;D</oddFooter>
  </headerFooter>
  <rowBreaks count="1" manualBreakCount="1">
    <brk id="5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2018 Appl Allocs - no waiver</vt:lpstr>
      <vt:lpstr>2018 Pt A &amp; B Appl Detail </vt:lpstr>
      <vt:lpstr>'2018 Appl Allocs - no waiver'!Print_Area</vt:lpstr>
      <vt:lpstr>'2018 Pt A &amp; B Appl Detail '!Print_Area</vt:lpstr>
      <vt:lpstr>'2018 Appl Allocs - no waiver'!Print_Titles</vt:lpstr>
      <vt:lpstr>'2018 Pt A &amp; B Appl Detail '!Print_Titles</vt:lpstr>
    </vt:vector>
  </TitlesOfParts>
  <Company>Hennepin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Hanft</dc:creator>
  <cp:lastModifiedBy>Carissa N Weisdorf</cp:lastModifiedBy>
  <cp:lastPrinted>2017-07-20T19:04:54Z</cp:lastPrinted>
  <dcterms:created xsi:type="dcterms:W3CDTF">2017-07-20T13:50:30Z</dcterms:created>
  <dcterms:modified xsi:type="dcterms:W3CDTF">2017-07-26T18:42:40Z</dcterms:modified>
</cp:coreProperties>
</file>